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ldz56fT6TIT5V4T/Aq/70A9Sg5QUozAJTmtwauEsBvRQEHf/pvNtkC2sqVhfPiKQxWxI8RDPPlWmM3lEFfaLkw==" workbookSaltValue="7OhOsx7hXOvvTC1VITys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R20" i="8"/>
  <c r="EP20" i="19"/>
  <c r="T13" i="12"/>
  <c r="BD18" i="13"/>
  <c r="BE17" i="13"/>
  <c r="BF17" i="13"/>
  <c r="C19" i="7"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J9"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<sst xmlns="http://schemas.openxmlformats.org/spreadsheetml/2006/main" count="2513" uniqueCount="1025">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</sst>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gwm5Ztm3j/IF6trC8QMUXwIlaaN/CsqFYVk9ceodJ9JJ74licpQ0TptXTEDyB7PIDxfoz/DgHWT6VPXAI4ahA==" saltValue="iESHRZOMmak0+6dkzibkw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27.55201592832255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121</v>
      </c>
      <c r="D10" s="224">
        <f>IF(ISNUMBER(Datos!I10),Datos!I10," - ")</f>
        <v>121</v>
      </c>
      <c r="E10" s="225">
        <f>IF(ISNUMBER(Datos!J10),Datos!J10," - ")</f>
        <v>50</v>
      </c>
      <c r="F10" s="225">
        <f>IF(ISNUMBER(Datos!K10),Datos!K10," - ")</f>
        <v>68</v>
      </c>
      <c r="G10" s="1029" t="str">
        <f>IF(Datos!E10&lt;&gt;"",Datos!E10,Datos!D10)</f>
        <v>37</v>
      </c>
      <c r="H10" s="226">
        <f>IF(ISNUMBER(Datos!L10),Datos!L10," - ")</f>
        <v>103</v>
      </c>
      <c r="I10" s="1039" t="str">
        <f>IF(ISNUMBER(Datos!AS10/Datos!BM10),Datos!AS10/Datos!BM10," - ")</f>
        <v xml:space="preserve"> - </v>
      </c>
      <c r="J10" s="1040">
        <f>IF(ISNUMBER(Datos!BY10/Datos!CN10),Datos!BY10/Datos!CN10," - ")</f>
        <v>0</v>
      </c>
      <c r="K10" s="229">
        <f t="shared" ref="K10:K12" si="1">IF(ISNUMBER((E10-F10)/C10),(E10-F10)/C10," - ")</f>
        <v>-0.1487603305785124</v>
      </c>
      <c r="L10" s="1020">
        <f>IF(ISNUMBER(NºAsuntos!I10/NºAsuntos!G10),(NºAsuntos!I10/NºAsuntos!G10)*11," - ")</f>
        <v>16.661764705882351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23.267578125</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121</v>
      </c>
      <c r="D13" s="1044">
        <f>SUBTOTAL(9,D9:D12)</f>
        <v>121</v>
      </c>
      <c r="E13" s="1045">
        <f>SUBTOTAL(9,E9:E12)</f>
        <v>50</v>
      </c>
      <c r="F13" s="1046">
        <f>SUBTOTAL(9,F9:F12)</f>
        <v>68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1923</v>
      </c>
      <c r="D15" s="224">
        <f>IF(ISNUMBER(IF(D_I="SI",Datos!I15,Datos!I15+Datos!AC15)),IF(D_I="SI",Datos!I15,Datos!I15+Datos!AC15)," - ")</f>
        <v>1871</v>
      </c>
      <c r="E15" s="225">
        <f>IF(ISNUMBER(IF(D_I="SI",Datos!J15,Datos!J15+Datos!AD15)),IF(D_I="SI",Datos!J15,Datos!J15+Datos!AD15)," - ")</f>
        <v>2463</v>
      </c>
      <c r="F15" s="225">
        <f>IF(ISNUMBER(IF(D_I="SI",Datos!K15,Datos!K15+Datos!AE15)),IF(D_I="SI",Datos!K15,Datos!K15+Datos!AE15)," - ")</f>
        <v>2382</v>
      </c>
      <c r="G15" s="1029" t="str">
        <f>IF(Datos!E15&lt;&gt;"",Datos!E15,Datos!D15)</f>
        <v>03</v>
      </c>
      <c r="H15" s="226">
        <f>IF(ISNUMBER(IF(D_I="SI",Datos!L15,Datos!L15+Datos!AF15)),IF(D_I="SI",Datos!L15,Datos!L15+Datos!AF15)," - ")</f>
        <v>2004</v>
      </c>
      <c r="I15" s="1039" t="str">
        <f>IF(ISNUMBER(Datos!AS15/Datos!BM15),Datos!AS15/Datos!BM15," - ")</f>
        <v xml:space="preserve"> - </v>
      </c>
      <c r="J15" s="1040">
        <f>IF(ISNUMBER(Datos!BY15/Datos!CN15),Datos!BY15/Datos!CN15," - ")</f>
        <v>0</v>
      </c>
      <c r="K15" s="229">
        <f t="shared" ref="K15:K18" si="3">IF(ISNUMBER((E15-F15)/C15),(E15-F15)/C15," - ")</f>
        <v>4.2121684867394697E-2</v>
      </c>
      <c r="L15" s="1020">
        <f>IF(ISNUMBER(NºAsuntos!I15/NºAsuntos!G15),(NºAsuntos!I15/NºAsuntos!G15)*11," - ")</f>
        <v>9.2544080604534003</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300</v>
      </c>
      <c r="D18" s="224">
        <f>IF(ISNUMBER(IF(D_I="SI",Datos!I18,Datos!I18+Datos!AC18)),IF(D_I="SI",Datos!I18,Datos!I18+Datos!AC18)," - ")</f>
        <v>275</v>
      </c>
      <c r="E18" s="225">
        <f>IF(ISNUMBER(IF(D_I="SI",Datos!J18,Datos!J18+Datos!AD18)),IF(D_I="SI",Datos!J18,Datos!J18+Datos!AD18)," - ")</f>
        <v>288</v>
      </c>
      <c r="F18" s="225">
        <f>IF(ISNUMBER(IF(D_I="SI",Datos!K18,Datos!K18+Datos!AE18)),IF(D_I="SI",Datos!K18,Datos!K18+Datos!AE18)," - ")</f>
        <v>278</v>
      </c>
      <c r="G18" s="1029" t="str">
        <f>IF(Datos!E18&lt;&gt;"",Datos!E18,Datos!D18)</f>
        <v>37</v>
      </c>
      <c r="H18" s="226">
        <f>IF(ISNUMBER(IF(D_I="SI",Datos!L18,Datos!L18+Datos!AF18)),IF(D_I="SI",Datos!L18,Datos!L18+Datos!AF18)," - ")</f>
        <v>310</v>
      </c>
      <c r="I18" s="1039" t="str">
        <f>IF(ISNUMBER(Datos!AS18/Datos!BM18),Datos!AS18/Datos!BM18," - ")</f>
        <v xml:space="preserve"> - </v>
      </c>
      <c r="J18" s="1040" t="str">
        <f>IF(ISNUMBER((Datos!BY18+Datos!BZ18)/Datos!CN18),(Datos!BY18+Datos!BZ18)/Datos!CN18," - ")</f>
        <v xml:space="preserve"> - </v>
      </c>
      <c r="K18" s="229">
        <f t="shared" si="3"/>
        <v>3.3333333333333333E-2</v>
      </c>
      <c r="L18" s="1020">
        <f>IF(ISNUMBER(NºAsuntos!I18/NºAsuntos!G18),(NºAsuntos!I18/NºAsuntos!G18)*11," - ")</f>
        <v>12.266187050359711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2223</v>
      </c>
      <c r="D19" s="1044">
        <f>SUBTOTAL(9,D15:D18)</f>
        <v>2146</v>
      </c>
      <c r="E19" s="1045">
        <f>SUBTOTAL(9,E15:E18)</f>
        <v>2751</v>
      </c>
      <c r="F19" s="1045">
        <f>SUBTOTAL(9,F15:F18)</f>
        <v>2660</v>
      </c>
      <c r="G19" s="1047" t="str">
        <f ca="1">INDIRECT(CONCATENATE("G",ROW()-1))</f>
        <v>37</v>
      </c>
      <c r="H19" s="1048">
        <f ca="1">SUMIF(G$14:G18,G19,H$14:H18)</f>
        <v>310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2344</v>
      </c>
      <c r="D20" s="1066">
        <f>SUBTOTAL(9,D9:D19)</f>
        <v>2267</v>
      </c>
      <c r="E20" s="1067">
        <f>SUBTOTAL(9,E9:E19)</f>
        <v>2801</v>
      </c>
      <c r="F20" s="1067">
        <f>SUBTOTAL(9,F9:F19)</f>
        <v>2728</v>
      </c>
      <c r="G20" s="1068"/>
      <c r="H20" s="1069">
        <f ca="1">SUMIF(B9:B19,"TOTAL",H9:H19)</f>
        <v>310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t/YLUxHoytFNZ4fyrLlAHihbxbI7iWV6bjHPPJzaU/TqCi4zZH0ydN4LEvQmuO1SjTV9xJh0SurMw7XIIGVLQ==" saltValue="BhC7z0BNQ733yMILSQ++m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LmTVXNiAqvzUN8hxudvZe0KKMW5qsh8x1CtMLA15Ol21YZKNePOTXBvih+7JdKrhiUP1uTywJtC1LNJjcZwEg==" saltValue="J7Hv2iF8p+sop7NCiMPW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4100</v>
      </c>
      <c r="J9" s="180">
        <v>2245</v>
      </c>
      <c r="K9" s="180">
        <v>1860</v>
      </c>
      <c r="L9" s="180">
        <v>4844</v>
      </c>
      <c r="M9" s="180">
        <v>698</v>
      </c>
      <c r="N9" s="180">
        <v>753</v>
      </c>
      <c r="O9" s="180">
        <v>790</v>
      </c>
      <c r="P9" s="180">
        <v>518</v>
      </c>
      <c r="Q9" s="180">
        <v>484</v>
      </c>
      <c r="R9" s="180">
        <v>8613</v>
      </c>
      <c r="S9" s="180">
        <v>5560</v>
      </c>
      <c r="T9" s="180">
        <v>5216</v>
      </c>
      <c r="U9" s="180">
        <v>2977</v>
      </c>
      <c r="V9" s="180">
        <v>6939</v>
      </c>
      <c r="W9" s="180">
        <v>926</v>
      </c>
      <c r="X9" s="187">
        <v>1132</v>
      </c>
      <c r="Y9" s="190">
        <v>149</v>
      </c>
      <c r="Z9" s="180">
        <v>178</v>
      </c>
      <c r="AA9" s="180">
        <v>149</v>
      </c>
      <c r="AB9" s="180">
        <v>188</v>
      </c>
      <c r="AC9" s="180">
        <v>0</v>
      </c>
      <c r="AD9" s="180">
        <v>0</v>
      </c>
      <c r="AE9" s="180">
        <v>0</v>
      </c>
      <c r="AF9" s="187">
        <v>0</v>
      </c>
      <c r="AG9" s="190">
        <v>92</v>
      </c>
      <c r="AH9" s="180">
        <v>56</v>
      </c>
      <c r="AI9" s="180">
        <v>63</v>
      </c>
      <c r="AJ9" s="191">
        <v>85</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5652</v>
      </c>
      <c r="AZ9" s="123">
        <f>IF(ISNUMBER(IF(J_V="SI",T9,T9+AH9)),IF(J_V="SI",T9,T9+AH9)," - ")</f>
        <v>5272</v>
      </c>
      <c r="BA9" s="124">
        <f>IF(ISNUMBER(IF(J_V="SI",U9,U9+AI9)),IF(J_V="SI",U9,U9+AI9)," - ")</f>
        <v>3040</v>
      </c>
      <c r="BB9" s="124">
        <f>IF(ISNUMBER(IF(J_V="SI",V9,V9+AJ9)),IF(J_V="SI",V9,V9+AJ9)," - ")</f>
        <v>7024</v>
      </c>
      <c r="BC9" s="125">
        <f>IF(ISNUMBER(X9),X9," - ")</f>
        <v>1132</v>
      </c>
      <c r="BD9" s="126">
        <f>IF(ISNUMBER(BA9/AZ9),BA9/AZ9," - ")</f>
        <v>0.57663125948406679</v>
      </c>
      <c r="BE9" s="127">
        <f>IF(ISNUMBER(BB9/BA9),BB9/BA9, " - ")</f>
        <v>2.3105263157894735</v>
      </c>
      <c r="BF9" s="127">
        <f>IF(ISNUMBER(BC9/BA9),BC9/BA9, " - ")</f>
        <v>0.37236842105263157</v>
      </c>
      <c r="BG9" s="195">
        <f>IF(ISNUMBER((AY9+AZ9)/BA9),(AY9+AZ9)/BA9," - ")</f>
        <v>3.5934210526315788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121</v>
      </c>
      <c r="J10" s="180">
        <v>50</v>
      </c>
      <c r="K10" s="180">
        <v>68</v>
      </c>
      <c r="L10" s="180">
        <v>103</v>
      </c>
      <c r="M10" s="180">
        <v>12</v>
      </c>
      <c r="N10" s="180">
        <v>52</v>
      </c>
      <c r="O10" s="180">
        <v>7</v>
      </c>
      <c r="P10" s="180">
        <v>15</v>
      </c>
      <c r="Q10" s="180">
        <v>4</v>
      </c>
      <c r="R10" s="180">
        <v>60</v>
      </c>
      <c r="S10" s="180">
        <v>79</v>
      </c>
      <c r="T10" s="180">
        <v>84</v>
      </c>
      <c r="U10" s="180">
        <v>75</v>
      </c>
      <c r="V10" s="180">
        <v>88</v>
      </c>
      <c r="W10" s="180">
        <v>29</v>
      </c>
      <c r="X10" s="187">
        <v>33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79</v>
      </c>
      <c r="AZ10" s="129">
        <f t="shared" si="0"/>
        <v>84</v>
      </c>
      <c r="BA10" s="129">
        <f t="shared" si="0"/>
        <v>75</v>
      </c>
      <c r="BB10" s="129">
        <f t="shared" si="0"/>
        <v>88</v>
      </c>
      <c r="BC10" s="125">
        <f t="shared" si="0"/>
        <v>29</v>
      </c>
      <c r="BD10" s="126">
        <f>IF(ISNUMBER(BA10/AZ10),BA10/AZ10," - ")</f>
        <v>0.8928571428571429</v>
      </c>
      <c r="BE10" s="127">
        <f>IF(ISNUMBER(BB10/BA10),BB10/BA10, " - ")</f>
        <v>1.1733333333333333</v>
      </c>
      <c r="BF10" s="127">
        <f>IF(ISNUMBER(BC10/BA10),BC10/BA10, " - ")</f>
        <v>0.38666666666666666</v>
      </c>
      <c r="BG10" s="195">
        <f>IF(ISNUMBER((AY10+AZ10)/BA10),(AY10+AZ10)/BA10," - ")</f>
        <v>2.1733333333333333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550</v>
      </c>
      <c r="J11" s="182">
        <v>430</v>
      </c>
      <c r="K11" s="182">
        <v>354</v>
      </c>
      <c r="L11" s="182">
        <v>630</v>
      </c>
      <c r="M11" s="182">
        <v>149</v>
      </c>
      <c r="N11" s="182">
        <v>246</v>
      </c>
      <c r="O11" s="180">
        <v>180</v>
      </c>
      <c r="P11" s="182">
        <v>91</v>
      </c>
      <c r="Q11" s="182">
        <v>57</v>
      </c>
      <c r="R11" s="182">
        <v>1425</v>
      </c>
      <c r="S11" s="182">
        <v>911</v>
      </c>
      <c r="T11" s="182">
        <v>680</v>
      </c>
      <c r="U11" s="182">
        <v>568</v>
      </c>
      <c r="V11" s="182">
        <v>1012</v>
      </c>
      <c r="W11" s="182">
        <v>218</v>
      </c>
      <c r="X11" s="188">
        <v>355</v>
      </c>
      <c r="Y11" s="190">
        <v>419</v>
      </c>
      <c r="Z11" s="180">
        <v>192</v>
      </c>
      <c r="AA11" s="180">
        <v>158</v>
      </c>
      <c r="AB11" s="180">
        <v>453</v>
      </c>
      <c r="AC11" s="182">
        <v>0</v>
      </c>
      <c r="AD11" s="182">
        <v>0</v>
      </c>
      <c r="AE11" s="182">
        <v>0</v>
      </c>
      <c r="AF11" s="188">
        <v>0</v>
      </c>
      <c r="AG11" s="201">
        <v>464</v>
      </c>
      <c r="AH11" s="182">
        <v>183</v>
      </c>
      <c r="AI11" s="182">
        <v>168</v>
      </c>
      <c r="AJ11" s="202">
        <v>479</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1375</v>
      </c>
      <c r="AZ11" s="127">
        <f t="shared" si="1"/>
        <v>863</v>
      </c>
      <c r="BA11" s="127">
        <f t="shared" si="1"/>
        <v>736</v>
      </c>
      <c r="BB11" s="127">
        <f t="shared" si="1"/>
        <v>1491</v>
      </c>
      <c r="BC11" s="125">
        <f>IF(ISNUMBER(X11),X11," - ")</f>
        <v>355</v>
      </c>
      <c r="BD11" s="126">
        <f t="shared" ref="BD11:BD12" si="2">IF(ISNUMBER(BA11/AZ11),BA11/AZ11," - ")</f>
        <v>0.85283893395133259</v>
      </c>
      <c r="BE11" s="127">
        <f t="shared" ref="BE11:BE12" si="3">IF(ISNUMBER(BB11/BA11),BB11/BA11, " - ")</f>
        <v>2.0258152173913042</v>
      </c>
      <c r="BF11" s="127">
        <f t="shared" ref="BF11:BF12" si="4">IF(ISNUMBER(BC11/BA11),BC11/BA11, " - ")</f>
        <v>0.48233695652173914</v>
      </c>
      <c r="BG11" s="195">
        <f t="shared" ref="BG11:BG12" si="5">IF(ISNUMBER((AY11+AZ11)/BA11),(AY11+AZ11)/BA11," - ")</f>
        <v>3.0407608695652173</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4771</v>
      </c>
      <c r="J13" s="183">
        <f t="shared" si="6"/>
        <v>2725</v>
      </c>
      <c r="K13" s="183">
        <f t="shared" si="6"/>
        <v>2282</v>
      </c>
      <c r="L13" s="183">
        <f t="shared" si="6"/>
        <v>5577</v>
      </c>
      <c r="M13" s="183">
        <f t="shared" si="6"/>
        <v>859</v>
      </c>
      <c r="N13" s="183">
        <f t="shared" si="6"/>
        <v>1051</v>
      </c>
      <c r="O13" s="183">
        <f t="shared" si="6"/>
        <v>977</v>
      </c>
      <c r="P13" s="183">
        <f t="shared" si="6"/>
        <v>624</v>
      </c>
      <c r="Q13" s="183">
        <f t="shared" si="6"/>
        <v>545</v>
      </c>
      <c r="R13" s="183">
        <f t="shared" si="6"/>
        <v>10098</v>
      </c>
      <c r="S13" s="183">
        <f t="shared" si="6"/>
        <v>6550</v>
      </c>
      <c r="T13" s="183">
        <f t="shared" si="6"/>
        <v>5980</v>
      </c>
      <c r="U13" s="183">
        <f t="shared" si="6"/>
        <v>3620</v>
      </c>
      <c r="V13" s="183">
        <f t="shared" si="6"/>
        <v>8039</v>
      </c>
      <c r="W13" s="183">
        <f t="shared" si="6"/>
        <v>1173</v>
      </c>
      <c r="X13" s="183">
        <f t="shared" si="6"/>
        <v>1520</v>
      </c>
      <c r="Y13" s="183">
        <f t="shared" si="6"/>
        <v>568</v>
      </c>
      <c r="Z13" s="183">
        <f t="shared" si="6"/>
        <v>370</v>
      </c>
      <c r="AA13" s="183">
        <f t="shared" si="6"/>
        <v>307</v>
      </c>
      <c r="AB13" s="183">
        <f t="shared" si="6"/>
        <v>641</v>
      </c>
      <c r="AC13" s="183">
        <f t="shared" si="6"/>
        <v>0</v>
      </c>
      <c r="AD13" s="183">
        <f t="shared" si="6"/>
        <v>0</v>
      </c>
      <c r="AE13" s="183">
        <f t="shared" si="6"/>
        <v>0</v>
      </c>
      <c r="AF13" s="183">
        <f>SUBTOTAL(9,AF9:AF12)</f>
        <v>0</v>
      </c>
      <c r="AG13" s="183">
        <f t="shared" ref="AG13:AT13" si="7">SUBTOTAL(9,AG8:AG12)</f>
        <v>556</v>
      </c>
      <c r="AH13" s="183">
        <f t="shared" si="7"/>
        <v>239</v>
      </c>
      <c r="AI13" s="183">
        <f t="shared" si="7"/>
        <v>231</v>
      </c>
      <c r="AJ13" s="183">
        <f t="shared" si="7"/>
        <v>564</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7106</v>
      </c>
      <c r="AZ13" s="183">
        <f>SUBTOTAL(9,AZ8:AZ12)</f>
        <v>6219</v>
      </c>
      <c r="BA13" s="183">
        <f>SUBTOTAL(9,BA8:BA12)</f>
        <v>3851</v>
      </c>
      <c r="BB13" s="183">
        <f>SUBTOTAL(9,BB8:BB12)</f>
        <v>8603</v>
      </c>
      <c r="BC13" s="183">
        <f>SUBTOTAL(9,BC8:BC12)</f>
        <v>1516</v>
      </c>
      <c r="BD13" s="204">
        <f>IF(ISNUMBER(BA13/AZ13),BA13/AZ13," - ")</f>
        <v>0.6192313876829072</v>
      </c>
      <c r="BE13" s="205">
        <f>IF(ISNUMBER(BB13/BA13),BB13/BA13, " - ")</f>
        <v>2.2339652038431574</v>
      </c>
      <c r="BF13" s="205">
        <f>IF(ISNUMBER(BC13/BA13),BC13/BA13, " - ")</f>
        <v>0.39366398338094</v>
      </c>
      <c r="BG13" s="206">
        <f>IF(ISNUMBER((AY13+AZ13)/BA13),(AY13+AZ13)/BA13," - ")</f>
        <v>3.4601402233186187</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1871</v>
      </c>
      <c r="J15" s="182">
        <v>2463</v>
      </c>
      <c r="K15" s="182">
        <v>2382</v>
      </c>
      <c r="L15" s="182">
        <v>2004</v>
      </c>
      <c r="M15" s="182">
        <v>294</v>
      </c>
      <c r="N15" s="182">
        <v>1400</v>
      </c>
      <c r="O15" s="180">
        <v>83</v>
      </c>
      <c r="P15" s="182">
        <v>139</v>
      </c>
      <c r="Q15" s="182">
        <v>175</v>
      </c>
      <c r="R15" s="182">
        <v>297</v>
      </c>
      <c r="S15" s="182">
        <v>1687</v>
      </c>
      <c r="T15" s="182">
        <v>2541</v>
      </c>
      <c r="U15" s="182">
        <v>2417</v>
      </c>
      <c r="V15" s="182">
        <v>1833</v>
      </c>
      <c r="W15" s="182">
        <v>275</v>
      </c>
      <c r="X15" s="188">
        <v>1451</v>
      </c>
      <c r="Y15" s="201">
        <v>0</v>
      </c>
      <c r="Z15" s="182">
        <v>0</v>
      </c>
      <c r="AA15" s="182">
        <v>0</v>
      </c>
      <c r="AB15" s="182">
        <v>0</v>
      </c>
      <c r="AC15" s="182">
        <v>0</v>
      </c>
      <c r="AD15" s="182">
        <v>63</v>
      </c>
      <c r="AE15" s="182">
        <v>62</v>
      </c>
      <c r="AF15" s="188">
        <v>1</v>
      </c>
      <c r="AG15" s="201">
        <v>0</v>
      </c>
      <c r="AH15" s="182">
        <v>0</v>
      </c>
      <c r="AI15" s="182">
        <v>0</v>
      </c>
      <c r="AJ15" s="202">
        <v>0</v>
      </c>
      <c r="AK15" s="181">
        <v>0</v>
      </c>
      <c r="AL15" s="182">
        <v>130</v>
      </c>
      <c r="AM15" s="182">
        <v>130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1687</v>
      </c>
      <c r="AZ15" s="129">
        <f t="shared" si="9"/>
        <v>2541</v>
      </c>
      <c r="BA15" s="129">
        <f t="shared" si="9"/>
        <v>2417</v>
      </c>
      <c r="BB15" s="129">
        <f t="shared" si="9"/>
        <v>1833</v>
      </c>
      <c r="BC15" s="125">
        <f>IF(ISNUMBER(W15),W15," - ")</f>
        <v>275</v>
      </c>
      <c r="BD15" s="126">
        <f>IF(ISNUMBER(BA15/AZ15),BA15/AZ15," - ")</f>
        <v>0.95120031483667844</v>
      </c>
      <c r="BE15" s="127">
        <f>IF(ISNUMBER(BB15/BA15),BB15/BA15, " - ")</f>
        <v>0.75837815473727765</v>
      </c>
      <c r="BF15" s="127">
        <f>IF(ISNUMBER(BC15/BA15),BC15/BA15, " - ")</f>
        <v>0.11377741001241208</v>
      </c>
      <c r="BG15" s="195">
        <f t="shared" ref="BG15:BG17" si="10">IF(ISNUMBER((AY15+AZ15)/BA15),(AY15+AZ15)/BA15," - ")</f>
        <v>1.7492759619362845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275</v>
      </c>
      <c r="J18" s="182">
        <v>288</v>
      </c>
      <c r="K18" s="182">
        <v>278</v>
      </c>
      <c r="L18" s="182">
        <v>310</v>
      </c>
      <c r="M18" s="182">
        <v>7</v>
      </c>
      <c r="N18" s="182">
        <v>175</v>
      </c>
      <c r="O18" s="182">
        <v>1</v>
      </c>
      <c r="P18" s="182">
        <v>1</v>
      </c>
      <c r="Q18" s="182">
        <v>0</v>
      </c>
      <c r="R18" s="182">
        <v>1</v>
      </c>
      <c r="S18" s="182">
        <v>324</v>
      </c>
      <c r="T18" s="182">
        <v>317</v>
      </c>
      <c r="U18" s="182">
        <v>301</v>
      </c>
      <c r="V18" s="182">
        <v>340</v>
      </c>
      <c r="W18" s="182">
        <v>7</v>
      </c>
      <c r="X18" s="188">
        <v>125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324</v>
      </c>
      <c r="AZ18" s="129">
        <f t="shared" si="19"/>
        <v>317</v>
      </c>
      <c r="BA18" s="129">
        <f t="shared" si="19"/>
        <v>301</v>
      </c>
      <c r="BB18" s="129">
        <f t="shared" si="19"/>
        <v>340</v>
      </c>
      <c r="BC18" s="125">
        <f>IF(ISNUMBER(W18),W18," - ")</f>
        <v>7</v>
      </c>
      <c r="BD18" s="126">
        <f>IF(ISNUMBER(BA18/AZ18),BA18/AZ18," - ")</f>
        <v>0.94952681388012616</v>
      </c>
      <c r="BE18" s="127">
        <f>IF(ISNUMBER(BB18/BA18),BB18/BA18, " - ")</f>
        <v>1.1295681063122924</v>
      </c>
      <c r="BF18" s="127">
        <f>IF(ISNUMBER(BC18/BA18),BC18/BA18, " - ")</f>
        <v>2.3255813953488372E-2</v>
      </c>
      <c r="BG18" s="195">
        <f>IF(ISNUMBER((AY18+AZ18)/BA18),(AY18+AZ18)/BA18," - ")</f>
        <v>2.1295681063122922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2146</v>
      </c>
      <c r="J19" s="183">
        <f t="shared" si="20"/>
        <v>2751</v>
      </c>
      <c r="K19" s="183">
        <f t="shared" si="20"/>
        <v>2660</v>
      </c>
      <c r="L19" s="183">
        <f t="shared" si="20"/>
        <v>2314</v>
      </c>
      <c r="M19" s="183">
        <f t="shared" si="20"/>
        <v>301</v>
      </c>
      <c r="N19" s="183">
        <f t="shared" si="20"/>
        <v>1575</v>
      </c>
      <c r="O19" s="183">
        <f t="shared" si="20"/>
        <v>84</v>
      </c>
      <c r="P19" s="183">
        <f t="shared" si="20"/>
        <v>140</v>
      </c>
      <c r="Q19" s="183">
        <f t="shared" si="20"/>
        <v>175</v>
      </c>
      <c r="R19" s="183">
        <f t="shared" si="20"/>
        <v>298</v>
      </c>
      <c r="S19" s="183">
        <f t="shared" si="20"/>
        <v>2011</v>
      </c>
      <c r="T19" s="183">
        <f t="shared" si="20"/>
        <v>2858</v>
      </c>
      <c r="U19" s="183">
        <f t="shared" si="20"/>
        <v>2718</v>
      </c>
      <c r="V19" s="183">
        <f t="shared" si="20"/>
        <v>2173</v>
      </c>
      <c r="W19" s="183">
        <f t="shared" si="20"/>
        <v>282</v>
      </c>
      <c r="X19" s="183">
        <f t="shared" si="20"/>
        <v>1576</v>
      </c>
      <c r="Y19" s="183">
        <f t="shared" si="20"/>
        <v>0</v>
      </c>
      <c r="Z19" s="183">
        <f t="shared" si="20"/>
        <v>0</v>
      </c>
      <c r="AA19" s="183">
        <f t="shared" si="20"/>
        <v>0</v>
      </c>
      <c r="AB19" s="183">
        <f t="shared" si="20"/>
        <v>0</v>
      </c>
      <c r="AC19" s="183">
        <f t="shared" si="20"/>
        <v>0</v>
      </c>
      <c r="AD19" s="183">
        <f t="shared" si="20"/>
        <v>63</v>
      </c>
      <c r="AE19" s="183">
        <f t="shared" si="20"/>
        <v>62</v>
      </c>
      <c r="AF19" s="183">
        <f t="shared" si="20"/>
        <v>1</v>
      </c>
      <c r="AG19" s="183">
        <f t="shared" si="20"/>
        <v>0</v>
      </c>
      <c r="AH19" s="183">
        <f t="shared" si="20"/>
        <v>0</v>
      </c>
      <c r="AI19" s="183">
        <f t="shared" si="20"/>
        <v>0</v>
      </c>
      <c r="AJ19" s="183">
        <f t="shared" si="20"/>
        <v>0</v>
      </c>
      <c r="AK19" s="183">
        <f t="shared" si="20"/>
        <v>0</v>
      </c>
      <c r="AL19" s="183">
        <f t="shared" si="20"/>
        <v>130</v>
      </c>
      <c r="AM19" s="183">
        <f t="shared" si="20"/>
        <v>130</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2011</v>
      </c>
      <c r="AZ19" s="183">
        <f>SUBTOTAL(9,AZ14:AZ18)</f>
        <v>2858</v>
      </c>
      <c r="BA19" s="183">
        <f>SUBTOTAL(9,BA14:BA18)</f>
        <v>2718</v>
      </c>
      <c r="BB19" s="183">
        <f>SUBTOTAL(9,BB14:BB18)</f>
        <v>2173</v>
      </c>
      <c r="BC19" s="183">
        <f>SUBTOTAL(9,BC14:BC18)</f>
        <v>282</v>
      </c>
      <c r="BD19" s="204">
        <f>IF(ISNUMBER(BA19/AZ19),BA19/AZ19," - ")</f>
        <v>0.95101469559132257</v>
      </c>
      <c r="BE19" s="205">
        <f>IF(ISNUMBER(BB19/BA19),BB19/BA19, " - ")</f>
        <v>0.79948491537895516</v>
      </c>
      <c r="BF19" s="205">
        <f>IF(ISNUMBER(BC19/BA19),BC19/BA19, " - ")</f>
        <v>0.10375275938189846</v>
      </c>
      <c r="BG19" s="206">
        <f>IF(ISNUMBER((AY19+AZ19)/BA19),(AY19+AZ19)/BA19," - ")</f>
        <v>1.7913907284768211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6917</v>
      </c>
      <c r="J20" s="134">
        <f t="shared" si="23"/>
        <v>5476</v>
      </c>
      <c r="K20" s="134">
        <f t="shared" si="23"/>
        <v>4942</v>
      </c>
      <c r="L20" s="134">
        <f t="shared" si="23"/>
        <v>7891</v>
      </c>
      <c r="M20" s="134">
        <f t="shared" si="23"/>
        <v>1160</v>
      </c>
      <c r="N20" s="134">
        <f t="shared" si="23"/>
        <v>2626</v>
      </c>
      <c r="O20" s="134">
        <f t="shared" si="23"/>
        <v>1061</v>
      </c>
      <c r="P20" s="134">
        <f t="shared" si="23"/>
        <v>764</v>
      </c>
      <c r="Q20" s="134">
        <f t="shared" si="23"/>
        <v>720</v>
      </c>
      <c r="R20" s="134">
        <f t="shared" si="23"/>
        <v>10396</v>
      </c>
      <c r="S20" s="134">
        <f t="shared" si="23"/>
        <v>8561</v>
      </c>
      <c r="T20" s="134">
        <f t="shared" si="23"/>
        <v>8838</v>
      </c>
      <c r="U20" s="134">
        <f t="shared" si="23"/>
        <v>6338</v>
      </c>
      <c r="V20" s="134">
        <f t="shared" si="23"/>
        <v>10212</v>
      </c>
      <c r="W20" s="134">
        <f t="shared" si="23"/>
        <v>1455</v>
      </c>
      <c r="X20" s="134">
        <f t="shared" si="23"/>
        <v>3096</v>
      </c>
      <c r="Y20" s="134">
        <f t="shared" si="23"/>
        <v>568</v>
      </c>
      <c r="Z20" s="134">
        <f t="shared" si="23"/>
        <v>370</v>
      </c>
      <c r="AA20" s="134">
        <f t="shared" si="23"/>
        <v>307</v>
      </c>
      <c r="AB20" s="134">
        <f t="shared" si="23"/>
        <v>641</v>
      </c>
      <c r="AC20" s="134">
        <f t="shared" si="23"/>
        <v>0</v>
      </c>
      <c r="AD20" s="134">
        <f t="shared" si="23"/>
        <v>63</v>
      </c>
      <c r="AE20" s="134">
        <f t="shared" si="23"/>
        <v>62</v>
      </c>
      <c r="AF20" s="134">
        <f t="shared" si="23"/>
        <v>1</v>
      </c>
      <c r="AG20" s="134">
        <f t="shared" si="23"/>
        <v>556</v>
      </c>
      <c r="AH20" s="134">
        <f t="shared" si="23"/>
        <v>239</v>
      </c>
      <c r="AI20" s="134">
        <f t="shared" si="23"/>
        <v>231</v>
      </c>
      <c r="AJ20" s="134">
        <f t="shared" si="23"/>
        <v>564</v>
      </c>
      <c r="AK20" s="134">
        <f t="shared" si="23"/>
        <v>0</v>
      </c>
      <c r="AL20" s="134">
        <f t="shared" si="23"/>
        <v>130</v>
      </c>
      <c r="AM20" s="134">
        <f t="shared" si="23"/>
        <v>130</v>
      </c>
      <c r="AN20" s="209">
        <f t="shared" si="23"/>
        <v>0</v>
      </c>
      <c r="AO20" s="210">
        <v>13</v>
      </c>
      <c r="AP20" s="210">
        <v>13</v>
      </c>
      <c r="AQ20" s="210">
        <v>12</v>
      </c>
      <c r="AR20" s="210">
        <v>12</v>
      </c>
      <c r="AS20" s="152">
        <f t="shared" si="23"/>
        <v>0</v>
      </c>
      <c r="AT20" s="152">
        <f t="shared" si="23"/>
        <v>0</v>
      </c>
      <c r="AU20" s="210"/>
      <c r="AV20" s="211"/>
      <c r="AW20" s="210"/>
      <c r="AX20" s="211"/>
      <c r="AY20" s="133">
        <f>SUBTOTAL(9,AY9:AY19)</f>
        <v>9117</v>
      </c>
      <c r="AZ20" s="134">
        <f>SUBTOTAL(9,AZ9:AZ19)</f>
        <v>9077</v>
      </c>
      <c r="BA20" s="134">
        <f>SUBTOTAL(9,BA9:BA19)</f>
        <v>6569</v>
      </c>
      <c r="BB20" s="134">
        <f>SUBTOTAL(9,BB9:BB19)</f>
        <v>10776</v>
      </c>
      <c r="BC20" s="135">
        <f>SUBTOTAL(9,BC9:BC19)</f>
        <v>1798</v>
      </c>
      <c r="BD20" s="212">
        <f>IF(ISNUMBER(BA20/AZ20),BA20/AZ20," - ")</f>
        <v>0.72369725680290842</v>
      </c>
      <c r="BE20" s="209">
        <f>IF(ISNUMBER(BB20/BA20),BB20/BA20, " - ")</f>
        <v>1.6404323336885371</v>
      </c>
      <c r="BF20" s="209">
        <f>IF(ISNUMBER(BC20/BA20),BC20/BA20, " - ")</f>
        <v>0.27370984929212971</v>
      </c>
      <c r="BG20" s="135">
        <f>IF(ISNUMBER((AY20+AZ20)/BA20),(AY20+AZ20)/BA20," - ")</f>
        <v>2.7696757497335973</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Z8Bf4Sq/Kk8j8x7ngzbQ3AXeUIhqV6fwC/AZq348VlwbsA7Ksu/VGv0oeV84mb9EG6q/khcj8ISJ1aXSHeMsw==" saltValue="HB6nbAgjFSMn+77lK2qY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bFguHCLpCuK9eY1zUdV31HzCXj2bDQpxx33+lf+gRruALWGSm4ztei46v0CGLyFu3bukFKFpeNRSgS9th4Dw==" saltValue="BAvZf7NzE+lxhSOWixGo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JAEN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178</v>
      </c>
      <c r="O9" s="1247"/>
      <c r="P9" s="1247"/>
      <c r="Q9" s="1215">
        <f>IF(ISNUMBER(Datos!P9),Datos!P9,0)</f>
        <v>518</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484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188</v>
      </c>
      <c r="AI9" s="1247" t="str">
        <f>IF(ISNUMBER(Datos!CD9),Datos!CD9,"-")</f>
        <v>-</v>
      </c>
      <c r="AJ9" s="1247" t="str">
        <f>IF(ISNUMBER(Datos!EN9),Datos!EN9," - ")</f>
        <v xml:space="preserve"> - </v>
      </c>
      <c r="AK9" s="1247"/>
      <c r="AL9" s="1258"/>
      <c r="AM9" s="1248">
        <f>IF(ISNUMBER(Datos!R9),Datos!R9," - ")</f>
        <v>8613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698</v>
      </c>
      <c r="BD9" s="1218">
        <f>IF(ISNUMBER(Datos!N9),Datos!N9," - ")</f>
        <v>753</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0.82913743293437892</v>
      </c>
      <c r="BH9" s="1226">
        <f>IF(ISNUMBER(((IF(J_V="SI",Datos!L9/Datos!K9,(Datos!L9+Datos!AB9)/(Datos!K9+Datos!AA9)))*11)/factor_trimestre),((IF(J_V="SI",Datos!L9/Datos!K9,(Datos!L9+Datos!AB9)/(Datos!K9+Datos!AA9)))*11)/factor_trimestre," - ")</f>
        <v>7.5141861622697865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3.9631658701480355E-3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121</v>
      </c>
      <c r="G10" s="1246">
        <f>IF(ISNUMBER(Datos!I10),Datos!I10," - ")</f>
        <v>121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68</v>
      </c>
      <c r="AC10" s="1215">
        <f>IF(ISNUMBER(Datos!Q10),Datos!Q10," - ")</f>
        <v>4</v>
      </c>
      <c r="AD10" s="1247"/>
      <c r="AE10" s="1262"/>
      <c r="AF10" s="1245">
        <f>IF(ISNUMBER(Datos!L10),Datos!L10,"-")</f>
        <v>103</v>
      </c>
      <c r="AG10" s="1247"/>
      <c r="AH10" s="1247"/>
      <c r="AI10" s="1247"/>
      <c r="AJ10" s="1247"/>
      <c r="AK10" s="1247"/>
      <c r="AL10" s="1258"/>
      <c r="AM10" s="1248">
        <f>IF(ISNUMBER(Datos!R10),Datos!R10," - ")</f>
        <v>60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52</v>
      </c>
      <c r="BE10" s="1218" t="str">
        <f>IF(ISNUMBER(Datos!BW10),Datos!BW10," - ")</f>
        <v xml:space="preserve"> - </v>
      </c>
      <c r="BF10" s="1217" t="str">
        <f>IF(ISNUMBER(Datos!BX10),Datos!BX10," - ")</f>
        <v xml:space="preserve"> - </v>
      </c>
      <c r="BG10" s="1223">
        <f>IF(ISNUMBER(Datos!K10/Datos!J10),Datos!K10/Datos!J10," - ")</f>
        <v>1.36</v>
      </c>
      <c r="BH10" s="1226">
        <f>IF(ISNUMBER(((Datos!L10/Datos!K10)*11)/factor_trimestre),((Datos!L10/Datos!K10)*11)/factor_trimestre," - ")</f>
        <v>4.5441176470588234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0.22448979591836735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192</v>
      </c>
      <c r="O11" s="1247"/>
      <c r="P11" s="1247"/>
      <c r="Q11" s="1215">
        <f>IF(ISNUMBER(Datos!P11),Datos!P11,0)</f>
        <v>91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57</v>
      </c>
      <c r="AD11" s="1247"/>
      <c r="AE11" s="1262"/>
      <c r="AF11" s="1245" t="str">
        <f>IF(ISNUMBER(IF(J_V="SI",Datos!L11,Datos!L11+Datos!AB11)-IF(Monitorios="SI",Datos!CD11,0)),
                          IF(J_V="SI",Datos!L11,Datos!L11+Datos!AB11)-IF(Monitorios="SI",Datos!CD11,0),
                          " - ")</f>
        <v xml:space="preserve"> - </v>
      </c>
      <c r="AG11" s="1247"/>
      <c r="AH11" s="1247">
        <f>IF(ISNUMBER(Datos!AB11),Datos!AB11,"-")</f>
        <v>453</v>
      </c>
      <c r="AI11" s="1247"/>
      <c r="AJ11" s="1247"/>
      <c r="AK11" s="1247"/>
      <c r="AL11" s="1258"/>
      <c r="AM11" s="1248">
        <f>IF(ISNUMBER(Datos!R11),Datos!R11," - ")</f>
        <v>1425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149</v>
      </c>
      <c r="BD11" s="1218">
        <f>IF(ISNUMBER(Datos!N11),Datos!N11," - ")</f>
        <v>246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0.82315112540192925</v>
      </c>
      <c r="BH11" s="1226">
        <f>IF(ISNUMBER(((IF(J_V="SI",Datos!L11/Datos!K11,(Datos!L11+Datos!AB11)/(Datos!K11+Datos!AA11)))*11)/factor_trimestre),((IF(J_V="SI",Datos!L11/Datos!K11,(Datos!L11+Datos!AB11)/(Datos!K11+Datos!AA11)))*11)/factor_trimestre," - ")</f>
        <v>6.345703125</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2.4442846872753415E-2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121</v>
      </c>
      <c r="G13" s="1391">
        <f t="shared" si="0"/>
        <v>121</v>
      </c>
      <c r="H13" s="1392">
        <f t="shared" si="0"/>
        <v>0</v>
      </c>
      <c r="I13" s="1391">
        <f t="shared" si="0"/>
        <v>0</v>
      </c>
      <c r="J13" s="1383">
        <f t="shared" si="0"/>
        <v>0</v>
      </c>
      <c r="K13" s="1383">
        <f t="shared" si="0"/>
        <v>0</v>
      </c>
      <c r="L13" s="1392">
        <f t="shared" si="0"/>
        <v>0</v>
      </c>
      <c r="M13" s="1392">
        <f t="shared" si="0"/>
        <v>0</v>
      </c>
      <c r="N13" s="1392">
        <f t="shared" si="0"/>
        <v>370</v>
      </c>
      <c r="O13" s="1393">
        <f t="shared" si="0"/>
        <v>0</v>
      </c>
      <c r="P13" s="1393">
        <f t="shared" si="0"/>
        <v>0</v>
      </c>
      <c r="Q13" s="1392">
        <f t="shared" si="0"/>
        <v>624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68</v>
      </c>
      <c r="AC13" s="1392">
        <f t="shared" si="1"/>
        <v>545</v>
      </c>
      <c r="AD13" s="1392">
        <f t="shared" si="1"/>
        <v>0</v>
      </c>
      <c r="AE13" s="1392">
        <f t="shared" si="1"/>
        <v>0</v>
      </c>
      <c r="AF13" s="1392">
        <f t="shared" si="1"/>
        <v>103</v>
      </c>
      <c r="AG13" s="1392">
        <f t="shared" si="1"/>
        <v>0</v>
      </c>
      <c r="AH13" s="1392">
        <f t="shared" si="1"/>
        <v>641</v>
      </c>
      <c r="AI13" s="1392">
        <f t="shared" si="1"/>
        <v>0</v>
      </c>
      <c r="AJ13" s="1392">
        <f t="shared" si="1"/>
        <v>0</v>
      </c>
      <c r="AK13" s="1392">
        <f t="shared" si="1"/>
        <v>0</v>
      </c>
      <c r="AL13" s="1392">
        <f t="shared" si="1"/>
        <v>0</v>
      </c>
      <c r="AM13" s="1392">
        <f t="shared" si="1"/>
        <v>10098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859</v>
      </c>
      <c r="BD13" s="1392">
        <f t="shared" si="1"/>
        <v>1051</v>
      </c>
      <c r="BE13" s="1392">
        <f t="shared" si="1"/>
        <v>0</v>
      </c>
      <c r="BF13" s="1392">
        <f t="shared" si="1"/>
        <v>0</v>
      </c>
      <c r="BG13" s="1392">
        <f>IF(ISNUMBER(Datos!K13/Datos!J13),Datos!K13/Datos!J13," - ")</f>
        <v>0.83743119266055044</v>
      </c>
      <c r="BH13" s="1396">
        <f>IF(ISNUMBER(((Datos!L13/Datos!K13)*11)/factor_trimestre),((Datos!L13/Datos!K13)*11)/factor_trimestre," - ")</f>
        <v>7.3317265556529359</v>
      </c>
      <c r="BI13" s="1392">
        <f>IF(ISNUMBER('Resol  Asuntos'!D13/NºAsuntos!G13),'Resol  Asuntos'!D13/NºAsuntos!G13," - ")</f>
        <v>0.3317883352645809</v>
      </c>
      <c r="BJ13" s="1392" t="str">
        <f>IF(ISNUMBER(Datos!CI13/Datos!CJ13),Datos!CI13/Datos!CJ13," - ")</f>
        <v xml:space="preserve"> - </v>
      </c>
      <c r="BK13" s="1392">
        <f>SUBTOTAL(9,BK8:BK12)</f>
        <v>0</v>
      </c>
      <c r="BL13" s="1392">
        <f>IF(ISNUMBER((I13-AB13+L13)/(F13)),(I13-AB13+L13)/(F13)," - ")</f>
        <v>-0.56198347107438018</v>
      </c>
      <c r="BM13" s="1397">
        <f>SUBTOTAL(9,BM9:BM12)</f>
        <v>0.25289580866126882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1923</v>
      </c>
      <c r="G15" s="1335">
        <f>IF(ISNUMBER(IF(D_I="SI",Datos!I15,Datos!I15+Datos!AC15)),IF(D_I="SI",Datos!I15,Datos!I15+Datos!AC15)," - ")</f>
        <v>1871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139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2382</v>
      </c>
      <c r="AC15" s="1215">
        <f>IF(ISNUMBER(Datos!Q15),Datos!Q15," - ")</f>
        <v>175</v>
      </c>
      <c r="AD15" s="1247"/>
      <c r="AE15" s="1262"/>
      <c r="AF15" s="1333">
        <f>IF(ISNUMBER(IF(D_I="SI",Datos!L15,Datos!L15+Datos!AF15)),IF(D_I="SI",Datos!L15,Datos!L15+Datos!AF15)," - ")</f>
        <v>2004</v>
      </c>
      <c r="AG15" s="1247"/>
      <c r="AH15" s="1247"/>
      <c r="AI15" s="1247"/>
      <c r="AJ15" s="1247"/>
      <c r="AK15" s="1247"/>
      <c r="AL15" s="1258"/>
      <c r="AM15" s="1248">
        <f>IF(ISNUMBER(Datos!R15),Datos!R15," - ")</f>
        <v>297</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294</v>
      </c>
      <c r="BD15" s="1218">
        <f>IF(ISNUMBER(Datos!N15),Datos!N15," - ")</f>
        <v>1400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0.96711327649208279</v>
      </c>
      <c r="BH15" s="1226">
        <f>IF(ISNUMBER(((IF(D_I="SI",Datos!L15/Datos!K15,(Datos!L15+Datos!AF15)/(Datos!K15+Datos!AE15)))*11)/factor_trimestre),((IF(D_I="SI",Datos!L15/Datos!K15,(Datos!L15+Datos!AF15)/(Datos!K15+Datos!AE15)))*11)/factor_trimestre," - ")</f>
        <v>2.5239294710327456</v>
      </c>
      <c r="BI15" s="1223">
        <f>IF(ISNUMBER('Resol  Asuntos'!D15/NºAsuntos!G15),'Resol  Asuntos'!D15/NºAsuntos!G15," - ")</f>
        <v>0.12342569269521411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275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278</v>
      </c>
      <c r="AC18" s="1215">
        <f>IF(ISNUMBER(Datos!Q18),Datos!Q18," - ")</f>
        <v>0</v>
      </c>
      <c r="AD18" s="1247"/>
      <c r="AE18" s="1262"/>
      <c r="AF18" s="1245">
        <f>IF(ISNUMBER(Datos!L18),Datos!L18,"-")</f>
        <v>310</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175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0.96527777777777779</v>
      </c>
      <c r="BH18" s="1226">
        <f>IF(ISNUMBER(((IF(D_I="SI",Datos!L18/Datos!K18,(Datos!L18+Datos!AF18)/(Datos!K18+Datos!AE18)))*11)/factor_trimestre),((IF(D_I="SI",Datos!L18/Datos!K18,(Datos!L18+Datos!AF18)/(Datos!K18+Datos!AE18)))*11)/factor_trimestre," - ")</f>
        <v>3.3453237410071943</v>
      </c>
      <c r="BI18" s="1223">
        <f>IF(ISNUMBER('Resol  Asuntos'!D18/NºAsuntos!G18),'Resol  Asuntos'!D18/NºAsuntos!G18," - ")</f>
        <v>2.5179856115107913E-2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1923</v>
      </c>
      <c r="G19" s="1391">
        <f>SUBTOTAL(9,G15:G18)</f>
        <v>2146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2660</v>
      </c>
      <c r="AC19" s="1392">
        <f t="shared" si="4"/>
        <v>175</v>
      </c>
      <c r="AD19" s="1392">
        <f t="shared" si="4"/>
        <v>0</v>
      </c>
      <c r="AE19" s="1392">
        <f t="shared" si="4"/>
        <v>0</v>
      </c>
      <c r="AF19" s="1392">
        <f t="shared" si="4"/>
        <v>2314</v>
      </c>
      <c r="AG19" s="1392">
        <f t="shared" si="4"/>
        <v>0</v>
      </c>
      <c r="AH19" s="1392">
        <f t="shared" si="4"/>
        <v>0</v>
      </c>
      <c r="AI19" s="1392">
        <f t="shared" si="4"/>
        <v>0</v>
      </c>
      <c r="AJ19" s="1392">
        <f t="shared" si="4"/>
        <v>0</v>
      </c>
      <c r="AK19" s="1392">
        <f t="shared" si="4"/>
        <v>0</v>
      </c>
      <c r="AL19" s="1392">
        <f t="shared" si="4"/>
        <v>0</v>
      </c>
      <c r="AM19" s="1392">
        <f t="shared" si="4"/>
        <v>298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301</v>
      </c>
      <c r="BD19" s="1392">
        <f t="shared" si="4"/>
        <v>1575</v>
      </c>
      <c r="BE19" s="1392">
        <f t="shared" si="4"/>
        <v>0</v>
      </c>
      <c r="BF19" s="1392">
        <f t="shared" si="4"/>
        <v>0</v>
      </c>
      <c r="BG19" s="1392">
        <f>IF(ISNUMBER(Datos!K19/Datos!J19),Datos!K19/Datos!J19," - ")</f>
        <v>0.9669211195928753</v>
      </c>
      <c r="BH19" s="1396">
        <f>IF(ISNUMBER(((Datos!L19/Datos!K19)*11)/factor_trimestre),((Datos!L19/Datos!K19)*11)/factor_trimestre," - ")</f>
        <v>2.609774436090226</v>
      </c>
      <c r="BI19" s="1392">
        <f>SUBTOTAL(9,BI15:BI18)</f>
        <v>0.14860554881032204</v>
      </c>
      <c r="BJ19" s="1392">
        <f>SUBTOTAL(9,BJ15:BJ18)</f>
        <v>0</v>
      </c>
      <c r="BK19" s="1392">
        <f>SUBTOTAL(9,BK15:BK18)</f>
        <v>0</v>
      </c>
      <c r="BL19" s="1392">
        <f>IF(ISNUMBER((I19-AB19+L19)/(F19)),(I19-AB19+L19)/(F19)," - ")</f>
        <v>-1.3832553302132085</v>
      </c>
      <c r="BM19" s="1398">
        <f>IF(ISNUMBER((Datos!P19-Datos!Q19)/(Datos!R19-Datos!P19+Datos!Q19)),(Datos!P19-Datos!Q19)/(Datos!R19-Datos!P19+Datos!Q19)," - ")</f>
        <v>-0.10510510510510511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13</v>
      </c>
      <c r="F20" s="1367">
        <f t="shared" si="6"/>
        <v>2044</v>
      </c>
      <c r="G20" s="1367">
        <f t="shared" si="6"/>
        <v>2267</v>
      </c>
      <c r="H20" s="1369">
        <f t="shared" si="6"/>
        <v>0</v>
      </c>
      <c r="I20" s="1367">
        <f t="shared" si="6"/>
        <v>0</v>
      </c>
      <c r="J20" s="1369">
        <f t="shared" si="6"/>
        <v>0</v>
      </c>
      <c r="K20" s="1369">
        <f t="shared" si="6"/>
        <v>0</v>
      </c>
      <c r="L20" s="1386">
        <f t="shared" si="6"/>
        <v>0</v>
      </c>
      <c r="M20" s="1386">
        <f t="shared" si="6"/>
        <v>0</v>
      </c>
      <c r="N20" s="1386">
        <f t="shared" si="6"/>
        <v>370</v>
      </c>
      <c r="O20" s="1386">
        <f t="shared" si="6"/>
        <v>0</v>
      </c>
      <c r="P20" s="1386">
        <f t="shared" si="6"/>
        <v>0</v>
      </c>
      <c r="Q20" s="1369">
        <f t="shared" si="6"/>
        <v>764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2728</v>
      </c>
      <c r="AC20" s="1368">
        <f t="shared" si="7"/>
        <v>720</v>
      </c>
      <c r="AD20" s="1368">
        <f t="shared" si="7"/>
        <v>0</v>
      </c>
      <c r="AE20" s="1368">
        <f t="shared" si="7"/>
        <v>0</v>
      </c>
      <c r="AF20" s="1371">
        <f t="shared" si="7"/>
        <v>2417</v>
      </c>
      <c r="AG20" s="1371">
        <f t="shared" si="7"/>
        <v>0</v>
      </c>
      <c r="AH20" s="1371">
        <f t="shared" si="7"/>
        <v>641</v>
      </c>
      <c r="AI20" s="1371">
        <f t="shared" si="7"/>
        <v>0</v>
      </c>
      <c r="AJ20" s="1368">
        <f t="shared" si="7"/>
        <v>0</v>
      </c>
      <c r="AK20" s="1371">
        <f t="shared" si="7"/>
        <v>0</v>
      </c>
      <c r="AL20" s="1371">
        <f t="shared" si="7"/>
        <v>0</v>
      </c>
      <c r="AM20" s="1371">
        <f t="shared" si="7"/>
        <v>10396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1160</v>
      </c>
      <c r="BD20" s="1367">
        <f t="shared" si="7"/>
        <v>2626</v>
      </c>
      <c r="BE20" s="1367">
        <f t="shared" si="7"/>
        <v>0</v>
      </c>
      <c r="BF20" s="1373">
        <f t="shared" si="7"/>
        <v>0</v>
      </c>
      <c r="BG20" s="1404">
        <f>IF(ISNUMBER(Datos!K20/Datos!J20),Datos!K20/Datos!J20," - ")</f>
        <v>0.90248356464572677</v>
      </c>
      <c r="BH20" s="1404">
        <f>IF(ISNUMBER(((Datos!L20/Datos!K20)*11)/factor_trimestre),((Datos!L20/Datos!K20)*11)/factor_trimestre," - ")</f>
        <v>4.790165924726832</v>
      </c>
      <c r="BI20" s="1362">
        <f>IF(ISNUMBER(Datos!J20/Datos!I20),Datos!J20/Datos!I20," - ")</f>
        <v>0.79167269047274835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-1.3346379647749511</v>
      </c>
      <c r="BM20" s="1387">
        <f>IF(ISNUMBER((Datos!P20-Datos!Q20+R20)/(Datos!R20-Datos!P20+Datos!Q20-R20)),(Datos!P20-Datos!Q20+R20)/(Datos!R20-Datos!P20+Datos!Q20-R20)," - ")</f>
        <v>4.250386398763524E-3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906.8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2.7568097504180447</v>
      </c>
      <c r="F22" s="1298">
        <f>IF(ISNUMBER(STDEV(F8:F19)),STDEV(F8:F19),"-")</f>
        <v>1040.3851850797055</v>
      </c>
      <c r="G22" s="1299">
        <f>IF(ISNUMBER(STDEV(G8:G19)),STDEV(G8:G19),"-")</f>
        <v>1012.3528041152451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1311.722989049136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330.55552087501485</v>
      </c>
      <c r="BD22" s="1298"/>
      <c r="BE22" s="1298">
        <f>IF(ISNUMBER(STDEV(BE8:BE19)),STDEV(BE8:BE19),"-")</f>
        <v>0</v>
      </c>
      <c r="BF22" s="1303">
        <f>IF(ISNUMBER(STDEV(BF8:BF19)),STDEV(BF8:BF19),"-")</f>
        <v>0</v>
      </c>
      <c r="BG22" s="1360">
        <f>IF(ISNUMBER(STDEV(BG8:BG19)),STDEV(BG8:BG19),"-")</f>
        <v>0.18747519235199903</v>
      </c>
      <c r="BH22" s="1361">
        <f>IF(ISNUMBER(STDEV(BH8:BH19)),STDEV(BH8:BH19),"-")</f>
        <v>2.1706680123020989</v>
      </c>
      <c r="BI22" s="1224">
        <f>IF(ISNUMBER(STDEV(BI8:BI19)),STDEV(BI8:BI19),"-")</f>
        <v>0.12796479162077645</v>
      </c>
      <c r="BJ22" s="1219" t="str">
        <f>IF(ISNUMBER(BL22/BM22),BL22/BM22," - ")</f>
        <v xml:space="preserve"> - </v>
      </c>
      <c r="BK22" s="1320"/>
      <c r="BL22" s="1306">
        <f>IF(ISNUMBER(STDEV(BL8:BL19)),STDEV(BL8:BL19),"-")</f>
        <v>0.58072690079474865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mcuyY0V5vwLwI38dYtQU2XBiCnsZZuVsXdBe7Ah01Tp8vgQu93Leq9Lt07wdvuykV1v3s3Yh7wxulb8Fv3qdQ==" saltValue="/cWAcpUzt/Aqjj/o9qeLG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JAEN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518</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484</v>
      </c>
      <c r="AA9" s="331" t="str">
        <f>IF(ISNUMBER(IF(J_V="SI",Datos!L9,Datos!L9+Datos!AB9)-IF(Monitorios="SI",Datos!CD9,0)),
                          IF(J_V="SI",Datos!L9,Datos!L9+Datos!AB9)-IF(Monitorios="SI",Datos!CD9,0),
                          " - ")</f>
        <v xml:space="preserve"> - </v>
      </c>
      <c r="AB9" s="333"/>
      <c r="AC9" s="333"/>
      <c r="AD9" s="483"/>
      <c r="AE9" s="483">
        <f>IF(ISNUMBER(Datos!R9),Datos!R9," - ")</f>
        <v>8613</v>
      </c>
      <c r="AF9" s="228" t="str">
        <f>IF(ISNUMBER(Datos!BV9),Datos!BV9," - ")</f>
        <v xml:space="preserve"> - </v>
      </c>
      <c r="AG9" s="224" t="str">
        <f>IF(ISNUMBER(Datos!DV9),Datos!DV9," - ")</f>
        <v xml:space="preserve"> - </v>
      </c>
      <c r="AH9" s="297"/>
      <c r="AI9" s="226"/>
      <c r="AJ9" s="224">
        <f>IF(ISNUMBER(Datos!M9),Datos!M9," - ")</f>
        <v>698</v>
      </c>
      <c r="AK9" s="228">
        <f>IF(ISNUMBER(Datos!N9),Datos!N9," - ")</f>
        <v>753</v>
      </c>
      <c r="AL9" s="228" t="str">
        <f>IF(ISNUMBER(Datos!BW9),Datos!BW9," - ")</f>
        <v xml:space="preserve"> - </v>
      </c>
      <c r="AM9" s="227" t="str">
        <f>IF(ISNUMBER(Datos!BX9),Datos!BX9," - ")</f>
        <v xml:space="preserve"> - </v>
      </c>
      <c r="AN9" s="242"/>
      <c r="AO9" s="259">
        <f>IF(ISNUMBER(((NºAsuntos!I9/NºAsuntos!G9)*11)/factor_trimestre),((NºAsuntos!I9/NºAsuntos!G9)*11)/factor_trimestre," - ")</f>
        <v>7.5141861622697865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3.9631658701480355E-3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121</v>
      </c>
      <c r="G10" s="224">
        <f>IF(ISNUMBER(Datos!I10),Datos!I10," - ")</f>
        <v>121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68</v>
      </c>
      <c r="Z10" s="617">
        <f>IF(ISNUMBER(Datos!Q10),Datos!Q10," - ")</f>
        <v>4</v>
      </c>
      <c r="AA10" s="331">
        <f>IF(ISNUMBER(Datos!L10),Datos!L10,"-")</f>
        <v>103</v>
      </c>
      <c r="AB10" s="333"/>
      <c r="AC10" s="333"/>
      <c r="AD10" s="483"/>
      <c r="AE10" s="483">
        <f>IF(ISNUMBER(Datos!R10),Datos!R10," - ")</f>
        <v>60</v>
      </c>
      <c r="AF10" s="228" t="str">
        <f>IF(ISNUMBER(Datos!BV10),Datos!BV10," - ")</f>
        <v xml:space="preserve"> - </v>
      </c>
      <c r="AG10" s="224" t="str">
        <f>IF(ISNUMBER(Datos!DV10),Datos!DV10," - ")</f>
        <v xml:space="preserve"> - </v>
      </c>
      <c r="AH10" s="297"/>
      <c r="AI10" s="226"/>
      <c r="AJ10" s="224">
        <f>IF(ISNUMBER(Datos!M10),Datos!M10," - ")</f>
        <v>12</v>
      </c>
      <c r="AK10" s="228">
        <f>IF(ISNUMBER(Datos!N10),Datos!N10," - ")</f>
        <v>52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4.5441176470588234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0.22448979591836735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57</v>
      </c>
      <c r="AA11" s="331" t="str">
        <f>IF(ISNUMBER(IF(J_V="SI",Datos!L11,Datos!L11+Datos!AB11)-IF(Monitorios="SI",Datos!CD11,0)),
                          IF(J_V="SI",Datos!L11,Datos!L11+Datos!AB11)-IF(Monitorios="SI",Datos!CD11,0),
                          " - ")</f>
        <v xml:space="preserve"> - </v>
      </c>
      <c r="AB11" s="333"/>
      <c r="AC11" s="333"/>
      <c r="AD11" s="483"/>
      <c r="AE11" s="483">
        <f>IF(ISNUMBER(Datos!R11),Datos!R11," - ")</f>
        <v>1425</v>
      </c>
      <c r="AF11" s="228" t="str">
        <f>IF(ISNUMBER(Datos!BV11),Datos!BV11," - ")</f>
        <v xml:space="preserve"> - </v>
      </c>
      <c r="AG11" s="224" t="str">
        <f>IF(ISNUMBER(Datos!DV11),Datos!DV11," - ")</f>
        <v xml:space="preserve"> - </v>
      </c>
      <c r="AH11" s="297"/>
      <c r="AI11" s="226"/>
      <c r="AJ11" s="224">
        <f>IF(ISNUMBER(Datos!M11),Datos!M11," - ")</f>
        <v>149</v>
      </c>
      <c r="AK11" s="228">
        <f>IF(ISNUMBER(Datos!N11),Datos!N11," - ")</f>
        <v>246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6.345703125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2.4442846872753415E-2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121</v>
      </c>
      <c r="G13" s="895">
        <f>SUBTOTAL(9,G8:G12)</f>
        <v>121</v>
      </c>
      <c r="H13" s="905"/>
      <c r="I13" s="895">
        <f t="shared" ref="I13:N13" si="0">SUBTOTAL(9,I8:I12)</f>
        <v>0</v>
      </c>
      <c r="J13" s="864">
        <f t="shared" si="0"/>
        <v>0</v>
      </c>
      <c r="K13" s="905">
        <f t="shared" si="0"/>
        <v>0</v>
      </c>
      <c r="L13" s="905">
        <f t="shared" si="0"/>
        <v>0</v>
      </c>
      <c r="M13" s="905">
        <f t="shared" si="0"/>
        <v>0</v>
      </c>
      <c r="N13" s="905">
        <f t="shared" si="0"/>
        <v>624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68</v>
      </c>
      <c r="Z13" s="904">
        <f t="shared" si="2"/>
        <v>545</v>
      </c>
      <c r="AA13" s="897">
        <f t="shared" si="2"/>
        <v>103</v>
      </c>
      <c r="AB13" s="897">
        <f t="shared" si="2"/>
        <v>0</v>
      </c>
      <c r="AC13" s="897">
        <f t="shared" si="2"/>
        <v>0</v>
      </c>
      <c r="AD13" s="897">
        <f t="shared" si="2"/>
        <v>0</v>
      </c>
      <c r="AE13" s="897">
        <f t="shared" si="2"/>
        <v>10098</v>
      </c>
      <c r="AF13" s="905">
        <f t="shared" si="2"/>
        <v>0</v>
      </c>
      <c r="AG13" s="905">
        <f t="shared" si="2"/>
        <v>0</v>
      </c>
      <c r="AH13" s="905">
        <f t="shared" si="2"/>
        <v>0</v>
      </c>
      <c r="AI13" s="905">
        <f t="shared" si="2"/>
        <v>0</v>
      </c>
      <c r="AJ13" s="905">
        <f t="shared" si="2"/>
        <v>859</v>
      </c>
      <c r="AK13" s="905">
        <f t="shared" si="2"/>
        <v>1051</v>
      </c>
      <c r="AL13" s="905">
        <f t="shared" si="2"/>
        <v>0</v>
      </c>
      <c r="AM13" s="905">
        <f t="shared" si="2"/>
        <v>0</v>
      </c>
      <c r="AN13" s="905">
        <f t="shared" si="2"/>
        <v>0</v>
      </c>
      <c r="AO13" s="901">
        <f>IF(ISNUMBER(((NºAsuntos!I13/NºAsuntos!G13)*11)/factor_trimestre),((NºAsuntos!I13/NºAsuntos!G13)*11)/factor_trimestre," - ")</f>
        <v>7.2050984936268838</v>
      </c>
      <c r="AP13" s="907" t="str">
        <f>IF(ISNUMBER(Datos!CI13/Datos!CJ13),Datos!CI13/Datos!CJ13," - ")</f>
        <v xml:space="preserve"> - </v>
      </c>
      <c r="AQ13" s="923">
        <f t="shared" ref="AQ13:AV13" si="3">SUBTOTAL(9,AQ9:AQ12)</f>
        <v>0</v>
      </c>
      <c r="AR13" s="923">
        <f t="shared" si="3"/>
        <v>0.25289580866126882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1923</v>
      </c>
      <c r="G15" s="224">
        <f>IF(ISNUMBER(IF(D_I="SI",Datos!I15,Datos!I15+Datos!AC15)),IF(D_I="SI",Datos!I15,Datos!I15+Datos!AC15)," - ")</f>
        <v>1871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2382</v>
      </c>
      <c r="Z15" s="617">
        <f>IF(ISNUMBER(Datos!Q15),Datos!Q15," - ")</f>
        <v>175</v>
      </c>
      <c r="AA15" s="331">
        <f>IF(ISNUMBER(IF(D_I="SI",Datos!L15,Datos!L15+Datos!AF15)),IF(D_I="SI",Datos!L15,Datos!L15+Datos!AF15)," - ")</f>
        <v>2004</v>
      </c>
      <c r="AB15" s="333"/>
      <c r="AC15" s="333"/>
      <c r="AD15" s="483"/>
      <c r="AE15" s="483">
        <f>IF(ISNUMBER(Datos!R15),Datos!R15," - ")</f>
        <v>297</v>
      </c>
      <c r="AF15" s="228" t="str">
        <f>IF(ISNUMBER(Datos!BV15),Datos!BV15," - ")</f>
        <v xml:space="preserve"> - </v>
      </c>
      <c r="AG15" s="224"/>
      <c r="AH15" s="297"/>
      <c r="AI15" s="226"/>
      <c r="AJ15" s="224">
        <f>IF(ISNUMBER(Datos!M15),Datos!M15," - ")</f>
        <v>294</v>
      </c>
      <c r="AK15" s="228">
        <f>IF(ISNUMBER(Datos!N15),Datos!N15," - ")</f>
        <v>1400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2.5239294710327456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275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278</v>
      </c>
      <c r="Z18" s="617">
        <f>IF(ISNUMBER(Datos!Q18),Datos!Q18," - ")</f>
        <v>0</v>
      </c>
      <c r="AA18" s="331">
        <f>IF(ISNUMBER(Datos!L18),Datos!L18,"-")</f>
        <v>310</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7</v>
      </c>
      <c r="AK18" s="228">
        <f>IF(ISNUMBER(Datos!N18),Datos!N18," - ")</f>
        <v>175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3.3453237410071943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1923</v>
      </c>
      <c r="G19" s="895">
        <f>SUBTOTAL(9,G15:G18)</f>
        <v>2146</v>
      </c>
      <c r="H19" s="927">
        <f>SUBTOTAL(9,H15:H18)</f>
        <v>0</v>
      </c>
      <c r="I19" s="908">
        <f>SUBTOTAL(9,I15:I18)</f>
        <v>0</v>
      </c>
      <c r="J19" s="864">
        <f>SUBTOTAL(9,J14:J18)</f>
        <v>0</v>
      </c>
      <c r="K19" s="927">
        <f t="shared" ref="K19:S19" si="4">SUBTOTAL(9,K15:K18)</f>
        <v>0</v>
      </c>
      <c r="L19" s="927">
        <f t="shared" si="4"/>
        <v>0</v>
      </c>
      <c r="M19" s="927">
        <f t="shared" si="4"/>
        <v>0</v>
      </c>
      <c r="N19" s="927">
        <f t="shared" si="4"/>
        <v>140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2660</v>
      </c>
      <c r="Z19" s="927">
        <f t="shared" si="5"/>
        <v>175</v>
      </c>
      <c r="AA19" s="927">
        <f t="shared" si="5"/>
        <v>2314</v>
      </c>
      <c r="AB19" s="927">
        <f t="shared" si="5"/>
        <v>0</v>
      </c>
      <c r="AC19" s="927">
        <f t="shared" si="5"/>
        <v>0</v>
      </c>
      <c r="AD19" s="927">
        <f t="shared" si="5"/>
        <v>0</v>
      </c>
      <c r="AE19" s="927">
        <f t="shared" si="5"/>
        <v>298</v>
      </c>
      <c r="AF19" s="927">
        <f t="shared" si="5"/>
        <v>0</v>
      </c>
      <c r="AG19" s="927">
        <f t="shared" si="5"/>
        <v>0</v>
      </c>
      <c r="AH19" s="927">
        <f t="shared" si="5"/>
        <v>0</v>
      </c>
      <c r="AI19" s="927">
        <f t="shared" si="5"/>
        <v>0</v>
      </c>
      <c r="AJ19" s="927">
        <f t="shared" si="5"/>
        <v>301</v>
      </c>
      <c r="AK19" s="927">
        <f t="shared" si="5"/>
        <v>1575</v>
      </c>
      <c r="AL19" s="927">
        <f t="shared" si="5"/>
        <v>0</v>
      </c>
      <c r="AM19" s="927">
        <f t="shared" si="5"/>
        <v>0</v>
      </c>
      <c r="AN19" s="927">
        <f t="shared" si="5"/>
        <v>0</v>
      </c>
      <c r="AO19" s="929">
        <f>IF(ISNUMBER(((NºAsuntos!I19/NºAsuntos!G19)*11)/factor_trimestre),((NºAsuntos!I19/NºAsuntos!G19)*11)/factor_trimestre," - ")</f>
        <v>2.609774436090226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13</v>
      </c>
      <c r="F20" s="817">
        <f t="shared" si="7"/>
        <v>2044</v>
      </c>
      <c r="G20" s="817">
        <f t="shared" si="7"/>
        <v>2267</v>
      </c>
      <c r="H20" s="818">
        <f t="shared" si="7"/>
        <v>0</v>
      </c>
      <c r="I20" s="817">
        <f t="shared" si="7"/>
        <v>0</v>
      </c>
      <c r="J20" s="819">
        <f t="shared" si="7"/>
        <v>0</v>
      </c>
      <c r="K20" s="817">
        <f t="shared" si="7"/>
        <v>0</v>
      </c>
      <c r="L20" s="820">
        <f t="shared" si="7"/>
        <v>0</v>
      </c>
      <c r="M20" s="817">
        <f t="shared" si="7"/>
        <v>0</v>
      </c>
      <c r="N20" s="818">
        <f t="shared" si="7"/>
        <v>764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2728</v>
      </c>
      <c r="Z20" s="824">
        <f t="shared" si="8"/>
        <v>720</v>
      </c>
      <c r="AA20" s="825">
        <f t="shared" si="8"/>
        <v>2417</v>
      </c>
      <c r="AB20" s="825">
        <f t="shared" si="8"/>
        <v>0</v>
      </c>
      <c r="AC20" s="825">
        <f t="shared" si="8"/>
        <v>0</v>
      </c>
      <c r="AD20" s="826">
        <f t="shared" si="8"/>
        <v>0</v>
      </c>
      <c r="AE20" s="826">
        <f t="shared" si="8"/>
        <v>10396</v>
      </c>
      <c r="AF20" s="827">
        <f t="shared" si="8"/>
        <v>0</v>
      </c>
      <c r="AG20" s="828">
        <f t="shared" si="8"/>
        <v>0</v>
      </c>
      <c r="AH20" s="829">
        <f t="shared" si="8"/>
        <v>0</v>
      </c>
      <c r="AI20" s="827">
        <f t="shared" si="8"/>
        <v>0</v>
      </c>
      <c r="AJ20" s="817">
        <f t="shared" si="8"/>
        <v>1160</v>
      </c>
      <c r="AK20" s="817">
        <f t="shared" si="8"/>
        <v>2626</v>
      </c>
      <c r="AL20" s="817">
        <f t="shared" si="8"/>
        <v>0</v>
      </c>
      <c r="AM20" s="830">
        <f t="shared" si="8"/>
        <v>0</v>
      </c>
      <c r="AN20" s="820">
        <f>IF(ISNUMBER(Datos!K20/Datos!J20),Datos!K20/Datos!J20," - ")</f>
        <v>0.90248356464572677</v>
      </c>
      <c r="AO20" s="820">
        <f>IF(ISNUMBER(FIND("06",Criterios!A8,1)),(IF(ISNUMBER(((Datos!R20/Datos!Q20)*11)/factor_trimestre),((Datos!R20/Datos!Q20)*11)/factor_trimestre," - ")),(IF(ISNUMBER(((Datos!L20/Datos!K20)*11)/factor_trimestre),((Datos!L20/Datos!K20)*11)/factor_trimestre," - ")))</f>
        <v>4.790165924726832</v>
      </c>
      <c r="AP20" s="831" t="str">
        <f>IF(ISNUMBER(Datos!CI20/Datos!CJ20),Datos!CI20/Datos!CJ20," - ")</f>
        <v xml:space="preserve"> - </v>
      </c>
      <c r="AQ20" s="831">
        <f>IF(OR(ISNUMBER(FIND("01",Criterios!A8,1)),ISNUMBER(FIND("02",Criterios!A8,1)),ISNUMBER(FIND("03",Criterios!A8,1)),ISNUMBER(FIND("04",Criterios!A8,1))),(J20-Y20+K20)/(F20-K20),(I20-Y20+K20)/(F20-K20))</f>
        <v>-1.3346379647749511</v>
      </c>
      <c r="AR20" s="831">
        <f>IF(ISNUMBER((Datos!P20-Datos!Q20+O20)/(Datos!R20-Datos!P20+Datos!Q20-O20)),(Datos!P20-Datos!Q20+O20)/(Datos!R20-Datos!P20+Datos!Q20-O20)," - ")</f>
        <v>4.250386398763524E-3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906.8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1040.3851850797055</v>
      </c>
      <c r="G22" s="551">
        <f>IF(ISNUMBER(STDEV(G8:G19)),STDEV(G8:G19),"-")</f>
        <v>1012.3528041152451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330.55552087501485</v>
      </c>
      <c r="AK22" s="251"/>
      <c r="AL22" s="251">
        <f>IF(ISNUMBER(STDEV(AL8:AL19)),STDEV(AL8:AL19),"-")</f>
        <v>0</v>
      </c>
      <c r="AM22" s="253">
        <f>IF(ISNUMBER(STDEV(AM8:AM19)),STDEV(AM8:AM19),"-")</f>
        <v>0</v>
      </c>
      <c r="AN22" s="538">
        <f>IF(ISNUMBER(STDEV(AN8:AN19)),STDEV(AN8:AN19),"-")</f>
        <v>0</v>
      </c>
      <c r="AO22" s="539">
        <f>IF(ISNUMBER(STDEV(AO8:AO19)),STDEV(AO8:AO19),"-")</f>
        <v>2.1473087101544905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ZBBgkC/aNL0RHd3H7R1Q7agzcUW/zhsy2nXWFg0EivlmcaJYDGxHM7nWp/B4Gp75waXCOIo8lAXhIdDbB8V9Q==" saltValue="dfr9eG80VvtUT+69Zkcx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pAMp4U6TP4cyIG3BOtmwhD6wiyCsohpB8TDpPZMoQ0/oWBvusDXtmS/3vFVySby7My8GgoSVVeJPDcWoV5pFg==" saltValue="MaKI51/b8q1FHE5TNG47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Z8HVrSsAoOSPGTPA5oCJht7Vj50NyMnjYM2h68yLMHUzKGa4D/ovqMigh06JtRPp/KrNouB5aPHAg0NeTFq5g==" saltValue="okRMDEDNw1OkcUw8H/+G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JAEN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0.3317883352645809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0.23460978178418088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4AtTDY7vvDWNV6V1ekGjMRxZMwEeO/wUJIrpmCJSl+FhP+pvkdIFhE9U66BE0b7gFj5F4DwLBLcWF8tgm/gfw==" saltValue="YrRU9zF77YC/vLM5kygR6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R5WXnK8IOTGjNRyQDzj0qfs4tl3MayHmZ2Ur/Q2SOUX0I+6K+YYOj2KGhje9RC0KmL07ss1IgvW2uNolwwEw==" saltValue="PIMRY4kXspVX9foBxrSo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JAEN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4249</v>
      </c>
      <c r="D9" s="403">
        <f>IF(ISNUMBER(C9/Datos!BH9),C9/Datos!BH9," - ")</f>
        <v>849.8</v>
      </c>
      <c r="E9" s="402">
        <f>IF(ISNUMBER(IF(J_V="SI",Datos!J9,Datos!J9+Datos!Z9)),IF(J_V="SI",Datos!J9,Datos!J9+Datos!Z9)," - ")</f>
        <v>2423</v>
      </c>
      <c r="F9" s="403">
        <f>IF(ISNUMBER(E9/B9),E9/B9," - ")</f>
        <v>484.6</v>
      </c>
      <c r="G9" s="402">
        <f>IF(ISNUMBER(IF(J_V="SI",Datos!K9,Datos!K9+Datos!AA9)),IF(J_V="SI",Datos!K9,Datos!K9+Datos!AA9)," - ")</f>
        <v>2009</v>
      </c>
      <c r="H9" s="403">
        <f>IF(ISNUMBER(G9/B9),G9/B9," - ")</f>
        <v>401.8</v>
      </c>
      <c r="I9" s="402">
        <f>IF(ISNUMBER(IF(J_V="SI",Datos!L9,Datos!L9+Datos!AB9)),IF(J_V="SI",Datos!L9,Datos!L9+Datos!AB9)," - ")</f>
        <v>5032</v>
      </c>
      <c r="J9" s="403">
        <f>IF(ISNUMBER(I9/B9),I9/B9," - ")</f>
        <v>1006.4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121</v>
      </c>
      <c r="D10" s="403">
        <f>IF(ISNUMBER(C10/Datos!BH10),C10/Datos!BH10," - ")</f>
        <v>121</v>
      </c>
      <c r="E10" s="402">
        <f>IF(ISNUMBER(Datos!J10),Datos!J10," - ")</f>
        <v>50</v>
      </c>
      <c r="F10" s="403">
        <f>IF(ISNUMBER(E10/B10),E10/B10," - ")</f>
        <v>50</v>
      </c>
      <c r="G10" s="402">
        <f>IF(ISNUMBER(Datos!K10),Datos!K10," - ")</f>
        <v>68</v>
      </c>
      <c r="H10" s="403">
        <f>IF(ISNUMBER(G10/B10),G10/B10," - ")</f>
        <v>68</v>
      </c>
      <c r="I10" s="402">
        <f>IF(ISNUMBER(Datos!L10),Datos!L10," - ")</f>
        <v>103</v>
      </c>
      <c r="J10" s="403">
        <f>IF(ISNUMBER(I10/B10),I10/B10," - ")</f>
        <v>103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969</v>
      </c>
      <c r="D11" s="403">
        <f>IF(ISNUMBER(C11/Datos!BH11),C11/Datos!BH11," - ")</f>
        <v>193.8</v>
      </c>
      <c r="E11" s="402">
        <f>IF(ISNUMBER(IF(J_V="SI",Datos!J11,Datos!J11+Datos!Z11)),IF(J_V="SI",Datos!J11,Datos!J11+Datos!Z11)," - ")</f>
        <v>622</v>
      </c>
      <c r="F11" s="403">
        <f>IF(ISNUMBER(E11/B11),E11/B11," - ")</f>
        <v>207.33333333333334</v>
      </c>
      <c r="G11" s="402">
        <f>IF(ISNUMBER(IF(J_V="SI",Datos!K11,Datos!K11+Datos!AA11)),IF(J_V="SI",Datos!K11,Datos!K11+Datos!AA11)," - ")</f>
        <v>512</v>
      </c>
      <c r="H11" s="403">
        <f>IF(ISNUMBER(G11/B11),G11/B11," - ")</f>
        <v>170.66666666666666</v>
      </c>
      <c r="I11" s="402">
        <f>IF(ISNUMBER(IF(J_V="SI",Datos!L11,Datos!L11+Datos!AB11)),IF(J_V="SI",Datos!L11,Datos!L11+Datos!AB11)," - ")</f>
        <v>1083</v>
      </c>
      <c r="J11" s="403">
        <f>IF(ISNUMBER(I11/B11),I11/B11," - ")</f>
        <v>361</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5339</v>
      </c>
      <c r="D13" s="847" t="str">
        <f>IF(ISNUMBER(C13/Datos!BI13),C13/Datos!BI13," - ")</f>
        <v xml:space="preserve"> - </v>
      </c>
      <c r="E13" s="846">
        <f>SUBTOTAL(9,E8:E12)</f>
        <v>3095</v>
      </c>
      <c r="F13" s="847">
        <f>IF(ISNUMBER(E13/B13),E13/B13," - ")</f>
        <v>343.88888888888891</v>
      </c>
      <c r="G13" s="846">
        <f>SUBTOTAL(9,G8:G12)</f>
        <v>2589</v>
      </c>
      <c r="H13" s="847">
        <f>IF(ISNUMBER(G13/B13),G13/B13," - ")</f>
        <v>287.66666666666669</v>
      </c>
      <c r="I13" s="846">
        <f>SUBTOTAL(9,I8:I12)</f>
        <v>6218</v>
      </c>
      <c r="J13" s="847">
        <f>IF(ISNUMBER(I13/B13),I13/B13," - ")</f>
        <v>690.88888888888891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1871</v>
      </c>
      <c r="D15" s="403">
        <f>IF(ISNUMBER(C15/Datos!BH15),C15/Datos!BH15," - ")</f>
        <v>467.75</v>
      </c>
      <c r="E15" s="402">
        <f>IF(ISNUMBER(IF(D_I="SI",Datos!J15,Datos!J15+Datos!AD15)),IF(D_I="SI",Datos!J15,Datos!J15+Datos!AD15)," - ")</f>
        <v>2463</v>
      </c>
      <c r="F15" s="403">
        <f>IF(ISNUMBER(E15/B15),E15/B15," - ")</f>
        <v>615.75</v>
      </c>
      <c r="G15" s="402">
        <f>IF(ISNUMBER(IF(D_I="SI",Datos!K15,Datos!K15+Datos!AE15)),IF(D_I="SI",Datos!K15,Datos!K15+Datos!AE15)," - ")</f>
        <v>2382</v>
      </c>
      <c r="H15" s="403">
        <f>IF(ISNUMBER(G15/B15),G15/B15," - ")</f>
        <v>595.5</v>
      </c>
      <c r="I15" s="402">
        <f>IF(ISNUMBER(IF(D_I="SI",Datos!L15,Datos!L15+Datos!AF15)),IF(D_I="SI",Datos!L15,Datos!L15+Datos!AF15)," - ")</f>
        <v>2004</v>
      </c>
      <c r="J15" s="403">
        <f>IF(ISNUMBER(I15/B15),I15/B15," - ")</f>
        <v>501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275</v>
      </c>
      <c r="D18" s="403">
        <f>IF(ISNUMBER(C18/Datos!BH18),C18/Datos!BH18," - ")</f>
        <v>275</v>
      </c>
      <c r="E18" s="402">
        <f>IF(ISNUMBER(IF(D_I="SI",Datos!J18,Datos!J18+Datos!AD18)),IF(D_I="SI",Datos!J18,Datos!J18+Datos!AD18)," - ")</f>
        <v>288</v>
      </c>
      <c r="F18" s="403">
        <f>IF(ISNUMBER(E18/B18),E18/B18," - ")</f>
        <v>288</v>
      </c>
      <c r="G18" s="402">
        <f>IF(ISNUMBER(IF(D_I="SI",Datos!K18,Datos!K18+Datos!AE18)),IF(D_I="SI",Datos!K18,Datos!K18+Datos!AE18)," - ")</f>
        <v>278</v>
      </c>
      <c r="H18" s="403">
        <f>IF(ISNUMBER(G18/B18),G18/B18," - ")</f>
        <v>278</v>
      </c>
      <c r="I18" s="402">
        <f>IF(ISNUMBER(IF(D_I="SI",Datos!L18,Datos!L18+Datos!AF18)),IF(D_I="SI",Datos!L18,Datos!L18+Datos!AF18)," - ")</f>
        <v>310</v>
      </c>
      <c r="J18" s="403">
        <f>IF(ISNUMBER(I18/B18),I18/B18," - ")</f>
        <v>310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2146</v>
      </c>
      <c r="D19" s="847" t="str">
        <f>IF(ISNUMBER(C19/Datos!BI19),C19/Datos!BI19," - ")</f>
        <v xml:space="preserve"> - </v>
      </c>
      <c r="E19" s="846">
        <f>SUBTOTAL(9,E14:E18)</f>
        <v>2751</v>
      </c>
      <c r="F19" s="847">
        <f>IF(ISNUMBER(E19/B19),E19/B19," - ")</f>
        <v>550.20000000000005</v>
      </c>
      <c r="G19" s="846">
        <f>SUBTOTAL(9,G14:G18)</f>
        <v>2660</v>
      </c>
      <c r="H19" s="847">
        <f>IF(ISNUMBER(G19/B19),G19/B19," - ")</f>
        <v>532</v>
      </c>
      <c r="I19" s="846">
        <f>SUBTOTAL(9,I14:I18)</f>
        <v>2314</v>
      </c>
      <c r="J19" s="847">
        <f>IF(ISNUMBER(I19/B19),I19/B19," - ")</f>
        <v>462.8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13</v>
      </c>
      <c r="C20" s="791">
        <f>SUBTOTAL(9,C9:C19)</f>
        <v>7485</v>
      </c>
      <c r="D20" s="792" t="str">
        <f>IF(ISNUMBER(C20/Datos!BI20),C20/Datos!BI20," - ")</f>
        <v xml:space="preserve"> - </v>
      </c>
      <c r="E20" s="791">
        <f>SUBTOTAL(9,E9:E19)</f>
        <v>5846</v>
      </c>
      <c r="F20" s="792">
        <f>IF(ISNUMBER(E20/B20),E20/B20," - ")</f>
        <v>449.69230769230768</v>
      </c>
      <c r="G20" s="791">
        <f>SUBTOTAL(9,G9:G19)</f>
        <v>5249</v>
      </c>
      <c r="H20" s="792">
        <f>IF(ISNUMBER(G20/B20),G20/B20," - ")</f>
        <v>403.76923076923077</v>
      </c>
      <c r="I20" s="791">
        <f>SUBTOTAL(9,I9:I19)</f>
        <v>8532</v>
      </c>
      <c r="J20" s="792">
        <f>IF(ISNUMBER(I20/B20),I20/B20," - ")</f>
        <v>656.30769230769226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WW8tMd0t4ePvKfDqKqbAlf8H8G8TfHUwk4wu9odHMjYSYCEg+J277bmIXN8EL9/iY2sRNGid/QkmyDHt/8KcQ==" saltValue="CmfOKkGqtnEQoLj0r6fzk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JAEN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121</v>
      </c>
      <c r="G10" s="681">
        <f>IF(ISNUMBER(Datos!I10),Datos!I10," - ")</f>
        <v>121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68</v>
      </c>
      <c r="AC10" s="680" t="str">
        <f>IF(ISNUMBER(IF(D_I="SI",DatosP!K18,DatosP!K18+DatosP!AE18)),IF(D_I="SI",DatosP!K18,DatosP!K18+DatosP!AE18)," - ")</f>
        <v xml:space="preserve"> - </v>
      </c>
      <c r="AD10" s="682"/>
      <c r="AE10" s="682"/>
      <c r="AF10" s="685">
        <f>IF(ISNUMBER(Datos!L10),Datos!L10,"-")</f>
        <v>103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52</v>
      </c>
      <c r="AN10" s="687">
        <f>IF(ISNUMBER(Datos!BW10+DatosP!BW18),Datos!BW10+DatosP!BW18," - ")</f>
        <v>0</v>
      </c>
      <c r="AO10" s="688">
        <f>IF(ISNUMBER(Datos!BX10+DatosP!BX18),Datos!BX10+DatosP!BX18," - ")</f>
        <v>0</v>
      </c>
      <c r="AP10" s="690">
        <f>IF(ISNUMBER(((Datos!L10/Datos!K10)*11)/factor_trimestre),((Datos!L10/Datos!K10)*11)/factor_trimestre," - ")</f>
        <v>4.5441176470588234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121</v>
      </c>
      <c r="G13" s="933">
        <f t="shared" si="0"/>
        <v>121</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68</v>
      </c>
      <c r="AC13" s="934">
        <f t="shared" si="1"/>
        <v>0</v>
      </c>
      <c r="AD13" s="934">
        <f t="shared" si="1"/>
        <v>0</v>
      </c>
      <c r="AE13" s="934">
        <f t="shared" si="1"/>
        <v>0</v>
      </c>
      <c r="AF13" s="934">
        <f t="shared" si="1"/>
        <v>103</v>
      </c>
      <c r="AG13" s="934">
        <f t="shared" si="1"/>
        <v>0</v>
      </c>
      <c r="AH13" s="934">
        <f t="shared" si="1"/>
        <v>0</v>
      </c>
      <c r="AI13" s="934">
        <f t="shared" si="1"/>
        <v>0</v>
      </c>
      <c r="AJ13" s="934">
        <f t="shared" si="1"/>
        <v>0</v>
      </c>
      <c r="AK13" s="934">
        <f t="shared" si="1"/>
        <v>0</v>
      </c>
      <c r="AL13" s="934">
        <f t="shared" si="1"/>
        <v>12</v>
      </c>
      <c r="AM13" s="934">
        <f t="shared" si="1"/>
        <v>52</v>
      </c>
      <c r="AN13" s="934">
        <f t="shared" si="1"/>
        <v>0</v>
      </c>
      <c r="AO13" s="934">
        <f t="shared" si="1"/>
        <v>0</v>
      </c>
      <c r="AP13" s="939">
        <f>IF(ISNUMBER(((Datos!L13/Datos!K13)*11)/factor_trimestre),((Datos!L13/Datos!K13)*11)/factor_trimestre," - ")</f>
        <v>7.3317265556529359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-0.56198347107438018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2.609774436090226</v>
      </c>
      <c r="AQ19" s="939">
        <f>IF(ISNUMBER(((Datos!M19/Datos!L19)*11)/factor_trimestre),((Datos!M19/Datos!L19)*11)/factor_trimestre," - ")</f>
        <v>0.39023336214347454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-0.10510510510510511</v>
      </c>
      <c r="AW19" s="941">
        <f>IF(ISNUMBER((Datos!Q19-Datos!R19)/(Datos!S19-Datos!Q19+Datos!R19)),(Datos!Q19-Datos!R19)/(Datos!S19-Datos!Q19+Datos!R19)," - ")</f>
        <v>-5.7638238050609185E-2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121</v>
      </c>
      <c r="G20" s="946">
        <f t="shared" si="4"/>
        <v>121</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68</v>
      </c>
      <c r="AC20" s="952">
        <f t="shared" si="5"/>
        <v>0</v>
      </c>
      <c r="AD20" s="952">
        <f t="shared" si="5"/>
        <v>0</v>
      </c>
      <c r="AE20" s="952">
        <f t="shared" si="5"/>
        <v>0</v>
      </c>
      <c r="AF20" s="953">
        <f t="shared" si="5"/>
        <v>103</v>
      </c>
      <c r="AG20" s="953">
        <f t="shared" si="5"/>
        <v>0</v>
      </c>
      <c r="AH20" s="953">
        <f t="shared" si="5"/>
        <v>0</v>
      </c>
      <c r="AI20" s="953">
        <f t="shared" si="5"/>
        <v>0</v>
      </c>
      <c r="AJ20" s="954">
        <f t="shared" si="5"/>
        <v>0</v>
      </c>
      <c r="AK20" s="954">
        <f t="shared" si="5"/>
        <v>0</v>
      </c>
      <c r="AL20" s="946">
        <f t="shared" si="5"/>
        <v>12</v>
      </c>
      <c r="AM20" s="946">
        <f t="shared" si="5"/>
        <v>52</v>
      </c>
      <c r="AN20" s="946">
        <f t="shared" si="5"/>
        <v>0</v>
      </c>
      <c r="AO20" s="946">
        <f t="shared" si="5"/>
        <v>0</v>
      </c>
      <c r="AP20" s="946">
        <f>IF(ISNUMBER(((Datos!L20/Datos!K20)*11)/factor_trimestre),((Datos!L20/Datos!K20)*11)/factor_trimestre," - ")</f>
        <v>4.790165924726832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-0.56198347107438018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4.250386398763524E-3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80.666666666666671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3.2041639575194445</v>
      </c>
      <c r="F22" s="733">
        <f>IF(ISNUMBER(STDEV(F8:F19)),STDEV(F8:F19),"-")</f>
        <v>69.859382571944721</v>
      </c>
      <c r="G22" s="734">
        <f>IF(ISNUMBER(STDEV(G8:G19)),STDEV(G8:G19),"-")</f>
        <v>69.859382571944721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39.259818304894551</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2.3737901797384553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w26RLyPb2DQeZ7TEH5fDPrwIAoOcbg4B2wfR/jm6AmKB7UGxRuJErFq4TC0JnT7qDegapPNcmnvelKk1HIMMg==" saltValue="siyN4+YMBysJMwPNOo9y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JAEN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178</v>
      </c>
      <c r="O9" s="333"/>
      <c r="P9" s="333"/>
      <c r="Q9" s="225">
        <f>IF(ISNUMBER(Datos!P9),Datos!P9,0)</f>
        <v>518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484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188</v>
      </c>
      <c r="AI9" s="224" t="str">
        <f>IF(ISNUMBER(Datos!CD9),Datos!CD9,"-")</f>
        <v>-</v>
      </c>
      <c r="AJ9" s="1214" t="str">
        <f>IF(ISNUMBER(Datos!EN9),Datos!EN9," - ")</f>
        <v xml:space="preserve"> - </v>
      </c>
      <c r="AK9" s="333"/>
      <c r="AL9" s="478"/>
      <c r="AM9" s="1214">
        <f>IF(ISNUMBER(Datos!R9),Datos!R9," - ")</f>
        <v>8613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698</v>
      </c>
      <c r="BD9" s="228">
        <f>IF(ISNUMBER(Datos!N9),Datos!N9," - ")</f>
        <v>753</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0.82913743293437892</v>
      </c>
      <c r="BH9" s="1214">
        <f>IF(ISNUMBER(((IF(J_V="SI",Datos!L9/Datos!K9,(Datos!L9+Datos!AB9)/(Datos!K9+Datos!AA9)))*11)/factor_trimestre),((IF(J_V="SI",Datos!L9/Datos!K9,(Datos!L9+Datos!AB9)/(Datos!K9+Datos!AA9)))*11)/factor_trimestre," - ")</f>
        <v>7.5141861622697865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3.9631658701480355E-3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949.57229890491362</v>
      </c>
      <c r="CF9" s="228">
        <f ca="1">AVERAGEIFS($AB:$AB,$BW:$BW,BW9,$BX:$BX,BX9)</f>
        <v>949.57229890491362</v>
      </c>
      <c r="CG9" s="1191">
        <v>0.7</v>
      </c>
      <c r="CH9" s="1191">
        <f ca="1">AVERAGEIF($BW:$BW,$BW9,$AC:$AC)</f>
        <v>196.36363636363637</v>
      </c>
      <c r="CI9" s="228">
        <f ca="1">AVERAGEIFS($AC:$AC,$BW:$BW,$BW9,$BX:$BX,$BX9)</f>
        <v>196.36363636363637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805.66666666666663</v>
      </c>
      <c r="CR9" s="228">
        <f ca="1">AVERAGEIFS($AF:$AF,$BW:$BW,BW9,$BX:$BX,BX9)</f>
        <v>805.66666666666663</v>
      </c>
      <c r="CS9" s="1191">
        <v>1.3</v>
      </c>
      <c r="CT9" s="1191">
        <v>1.5</v>
      </c>
      <c r="CU9" s="1191">
        <f ca="1">AVERAGEIF($BW:$BW,$BW9,$AH:$AH)</f>
        <v>240.375</v>
      </c>
      <c r="CV9" s="228">
        <f ca="1">AVERAGEIFS($AH:$AH,$BW:$BW,$BW9,$BX:$BX,$BX9)</f>
        <v>240.375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2835.2727272727275</v>
      </c>
      <c r="DH9" s="1218">
        <f ca="1">AVERAGEIFS($AM:$AM,$BW:$BW,$BW9,$BX:$BX,$BX9)</f>
        <v>2835.2727272727275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3.4312995895950542</v>
      </c>
      <c r="ER9" s="1218">
        <f ca="1">AVERAGEIFS($BH:$BH,$BW:$BW,$BW9,$BX:$BX,$BX9)</f>
        <v>3.4312995895950542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121</v>
      </c>
      <c r="G10" s="332">
        <f>IF(ISNUMBER(Datos!I10),Datos!I10," - ")</f>
        <v>121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68</v>
      </c>
      <c r="AC10" s="224">
        <f>IF(ISNUMBER(Datos!Q10),Datos!Q10," - ")</f>
        <v>4</v>
      </c>
      <c r="AD10" s="224"/>
      <c r="AE10" s="224"/>
      <c r="AF10" s="224">
        <f>IF(ISNUMBER(Datos!L10),Datos!L10,"-")</f>
        <v>103</v>
      </c>
      <c r="AG10" s="333"/>
      <c r="AH10" s="224"/>
      <c r="AI10" s="224"/>
      <c r="AJ10" s="1214"/>
      <c r="AK10" s="333"/>
      <c r="AL10" s="478"/>
      <c r="AM10" s="1214">
        <f>IF(ISNUMBER(Datos!R10),Datos!R10," - ")</f>
        <v>60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52</v>
      </c>
      <c r="BE10" s="1214" t="str">
        <f>IF(ISNUMBER(Datos!BW10),Datos!BW10," - ")</f>
        <v xml:space="preserve"> - </v>
      </c>
      <c r="BF10" s="1214" t="str">
        <f>IF(ISNUMBER(Datos!BX10),Datos!BX10," - ")</f>
        <v xml:space="preserve"> - </v>
      </c>
      <c r="BG10" s="242">
        <f>IF(ISNUMBER(Datos!K10/Datos!J10),Datos!K10/Datos!J10," - ")</f>
        <v>1.36</v>
      </c>
      <c r="BH10" s="1214">
        <f>IF(ISNUMBER(((Datos!L10/Datos!K10)*11)/factor_trimestre),((Datos!L10/Datos!K10)*11)/factor_trimestre," - ")</f>
        <v>4.5441176470588234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0.22448979591836735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949.57229890491362</v>
      </c>
      <c r="CF10" s="228">
        <f ca="1">AVERAGEIFS($AB:$AB,$BW:$BW,BW10,$BX:$BX,BX10)</f>
        <v>949.57229890491362</v>
      </c>
      <c r="CG10" s="1191">
        <v>0.7</v>
      </c>
      <c r="CH10" s="1191">
        <f ca="1">AVERAGEIF($BW:$BW,BW10,$AC:$AC)</f>
        <v>196.36363636363637</v>
      </c>
      <c r="CI10" s="228">
        <f ca="1">AVERAGEIFS($AC:$AC,$BW:$BW,BW10,$BX:$BX,BX10)</f>
        <v>196.36363636363637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805.66666666666663</v>
      </c>
      <c r="CR10" s="228">
        <f ca="1">AVERAGEIFS($AF:$AF,$BW:$BW,BW10,$BX:$BX,BX10)</f>
        <v>805.66666666666663</v>
      </c>
      <c r="CS10" s="1191">
        <v>1.3</v>
      </c>
      <c r="CT10" s="1191">
        <v>1.5</v>
      </c>
      <c r="CU10" s="1191">
        <f ca="1">AVERAGEIF($BW:$BW,$BW10,$AH:$AH)</f>
        <v>240.375</v>
      </c>
      <c r="CV10" s="228">
        <f ca="1">AVERAGEIFS($AH:$AH,$BW:$BW,$BW10,$BX:$BX,$BX10)</f>
        <v>240.375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2835.2727272727275</v>
      </c>
      <c r="DH10" s="1218">
        <f ca="1">AVERAGEIFS($AM:$AM,$BW:$BW,$BW10,$BX:$BX,$BX10)</f>
        <v>2835.2727272727275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3.4312995895950542</v>
      </c>
      <c r="ER10" s="1218">
        <f ca="1">AVERAGEIFS($BH:$BH,$BW:$BW,$BW10,$BX:$BX,$BX10)</f>
        <v>3.4312995895950542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192</v>
      </c>
      <c r="O11" s="333"/>
      <c r="P11" s="333"/>
      <c r="Q11" s="225">
        <f>IF(ISNUMBER(Datos!P11),Datos!P11,0)</f>
        <v>91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57</v>
      </c>
      <c r="AD11" s="224"/>
      <c r="AE11" s="224"/>
      <c r="AF11" s="224" t="str">
        <f>IF(ISNUMBER(IF(J_V="SI",Datos!L11,Datos!L11+Datos!AB11)-IF(Monitorios="SI",Datos!CD11,0)),
                          IF(J_V="SI",Datos!L11,Datos!L11+Datos!AB11)-IF(Monitorios="SI",Datos!CD11,0),
                          " - ")</f>
        <v xml:space="preserve"> - </v>
      </c>
      <c r="AG11" s="333"/>
      <c r="AH11" s="224">
        <f>IF(ISNUMBER(Datos!AB11),Datos!AB11,"-")</f>
        <v>453</v>
      </c>
      <c r="AI11" s="224"/>
      <c r="AJ11" s="1214"/>
      <c r="AK11" s="333"/>
      <c r="AL11" s="478"/>
      <c r="AM11" s="1214">
        <f>IF(ISNUMBER(Datos!R11),Datos!R11," - ")</f>
        <v>1425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149</v>
      </c>
      <c r="BD11" s="228">
        <f>IF(ISNUMBER(Datos!N11),Datos!N11," - ")</f>
        <v>246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0.82315112540192925</v>
      </c>
      <c r="BH11" s="1214">
        <f>IF(ISNUMBER(((IF(J_V="SI",Datos!L11/Datos!K11,(Datos!L11+Datos!AB11)/(Datos!K11+Datos!AA11)))*11)/factor_trimestre),((IF(J_V="SI",Datos!L11/Datos!K11,(Datos!L11+Datos!AB11)/(Datos!K11+Datos!AA11)))*11)/factor_trimestre," - ")</f>
        <v>6.345703125</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2.4442846872753415E-2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949.57229890491362</v>
      </c>
      <c r="CF11" s="228">
        <f ca="1">AVERAGEIFS($AB:$AB,$BW:$BW,BW11,$BX:$BX,BX11)</f>
        <v>949.57229890491362</v>
      </c>
      <c r="CG11" s="1191">
        <v>0.7</v>
      </c>
      <c r="CH11" s="1191">
        <f ca="1">AVERAGEIF($BW:$BW,BW11,$AC:$AC)</f>
        <v>196.36363636363637</v>
      </c>
      <c r="CI11" s="228">
        <f ca="1">AVERAGEIFS($AC:$AC,$BW:$BW,BW11,$BX:$BX,BX11)</f>
        <v>196.36363636363637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805.66666666666663</v>
      </c>
      <c r="CR11" s="228">
        <f ca="1">AVERAGEIFS($AF:$AF,$BW:$BW,BW11,$BX:$BX,BX11)</f>
        <v>805.66666666666663</v>
      </c>
      <c r="CS11" s="1191">
        <v>1.3</v>
      </c>
      <c r="CT11" s="1191">
        <v>1.5</v>
      </c>
      <c r="CU11" s="1191">
        <f ca="1">AVERAGEIF($BW:$BW,$BW11,$AH:$AH)</f>
        <v>240.375</v>
      </c>
      <c r="CV11" s="228">
        <f ca="1">AVERAGEIFS($AH:$AH,$BW:$BW,$BW11,$BX:$BX,$BX11)</f>
        <v>240.375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2835.2727272727275</v>
      </c>
      <c r="DH11" s="1218">
        <f ca="1">AVERAGEIFS($AM:$AM,$BW:$BW,$BW11,$BX:$BX,$BX11)</f>
        <v>2835.2727272727275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3.4312995895950542</v>
      </c>
      <c r="ER11" s="1218">
        <f ca="1">AVERAGEIFS($BH:$BH,$BW:$BW,$BW11,$BX:$BX,$BX11)</f>
        <v>3.4312995895950542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949.57229890491362</v>
      </c>
      <c r="CF12" s="228">
        <f ca="1">AVERAGEIFS($AB:$AB,$BW:$BW,BW12,$BX:$BX,BX12)</f>
        <v>949.57229890491362</v>
      </c>
      <c r="CG12" s="1191">
        <v>0.7</v>
      </c>
      <c r="CH12" s="1191">
        <f ca="1">AVERAGEIF($BW:$BW,BW12,$AC:$AC)</f>
        <v>196.36363636363637</v>
      </c>
      <c r="CI12" s="228">
        <f ca="1">AVERAGEIFS($AC:$AC,$BW:$BW,BW12,$BX:$BX,BX12)</f>
        <v>196.36363636363637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805.66666666666663</v>
      </c>
      <c r="CR12" s="228">
        <f ca="1">AVERAGEIFS($AF:$AF,$BW:$BW,BW12,$BX:$BX,BX12)</f>
        <v>805.66666666666663</v>
      </c>
      <c r="CS12" s="1191">
        <v>1.3</v>
      </c>
      <c r="CT12" s="1191">
        <v>1.5</v>
      </c>
      <c r="CU12" s="1191">
        <f ca="1">AVERAGEIF($BW:$BW,$BW12,$AH:$AH)</f>
        <v>240.375</v>
      </c>
      <c r="CV12" s="228">
        <f ca="1">AVERAGEIFS($AH:$AH,$BW:$BW,$BW12,$BX:$BX,$BX12)</f>
        <v>240.375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2835.2727272727275</v>
      </c>
      <c r="DH12" s="1218">
        <f ca="1">AVERAGEIFS($AM:$AM,$BW:$BW,$BW12,$BX:$BX,$BX12)</f>
        <v>2835.2727272727275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3.4312995895950542</v>
      </c>
      <c r="ER12" s="1218">
        <f ca="1">AVERAGEIFS($BH:$BH,$BW:$BW,$BW12,$BX:$BX,$BX12)</f>
        <v>3.4312995895950542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121</v>
      </c>
      <c r="G13" s="895">
        <f t="shared" si="1"/>
        <v>121</v>
      </c>
      <c r="H13" s="896">
        <f t="shared" si="1"/>
        <v>0</v>
      </c>
      <c r="I13" s="895">
        <f t="shared" si="1"/>
        <v>0</v>
      </c>
      <c r="J13" s="864">
        <f t="shared" si="1"/>
        <v>0</v>
      </c>
      <c r="K13" s="864">
        <f t="shared" si="1"/>
        <v>0</v>
      </c>
      <c r="L13" s="896">
        <f t="shared" si="1"/>
        <v>0</v>
      </c>
      <c r="M13" s="896">
        <f t="shared" si="1"/>
        <v>0</v>
      </c>
      <c r="N13" s="896">
        <f t="shared" si="1"/>
        <v>370</v>
      </c>
      <c r="O13" s="897">
        <f t="shared" si="1"/>
        <v>0</v>
      </c>
      <c r="P13" s="897">
        <f t="shared" si="1"/>
        <v>0</v>
      </c>
      <c r="Q13" s="896">
        <f t="shared" si="1"/>
        <v>624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68</v>
      </c>
      <c r="AC13" s="896">
        <f t="shared" si="2"/>
        <v>545</v>
      </c>
      <c r="AD13" s="896">
        <f t="shared" si="2"/>
        <v>0</v>
      </c>
      <c r="AE13" s="896">
        <f t="shared" si="2"/>
        <v>0</v>
      </c>
      <c r="AF13" s="896">
        <f t="shared" si="2"/>
        <v>103</v>
      </c>
      <c r="AG13" s="896">
        <f t="shared" si="2"/>
        <v>0</v>
      </c>
      <c r="AH13" s="896">
        <f t="shared" si="2"/>
        <v>641</v>
      </c>
      <c r="AI13" s="896">
        <f t="shared" si="2"/>
        <v>0</v>
      </c>
      <c r="AJ13" s="896">
        <f t="shared" si="2"/>
        <v>0</v>
      </c>
      <c r="AK13" s="896">
        <f t="shared" si="2"/>
        <v>0</v>
      </c>
      <c r="AL13" s="896">
        <f t="shared" si="2"/>
        <v>0</v>
      </c>
      <c r="AM13" s="896">
        <f t="shared" si="2"/>
        <v>10098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859</v>
      </c>
      <c r="BD13" s="896">
        <f t="shared" si="2"/>
        <v>1051</v>
      </c>
      <c r="BE13" s="896">
        <f t="shared" si="2"/>
        <v>0</v>
      </c>
      <c r="BF13" s="896">
        <f t="shared" si="2"/>
        <v>0</v>
      </c>
      <c r="BG13" s="896">
        <f>IF(ISNUMBER(Datos!K13/Datos!J13),Datos!K13/Datos!J13," - ")</f>
        <v>0.83743119266055044</v>
      </c>
      <c r="BH13" s="900">
        <f>IF(ISNUMBER(((Datos!L13/Datos!K13)*11)/factor_trimestre),((Datos!L13/Datos!K13)*11)/factor_trimestre," - ")</f>
        <v>7.3317265556529359</v>
      </c>
      <c r="BI13" s="896">
        <f>IF(ISNUMBER('Resol  Asuntos'!D13/NºAsuntos!G13),'Resol  Asuntos'!D13/NºAsuntos!G13," - ")</f>
        <v>0.3317883352645809</v>
      </c>
      <c r="BJ13" s="896" t="str">
        <f>IF(ISNUMBER(Datos!CI13/Datos!CJ13),Datos!CI13/Datos!CJ13," - ")</f>
        <v xml:space="preserve"> - </v>
      </c>
      <c r="BK13" s="896">
        <f>SUBTOTAL(9,BK8:BK12)</f>
        <v>0</v>
      </c>
      <c r="BL13" s="896">
        <f>IF(ISNUMBER((I13-AB13+L13)/(F13)),(I13-AB13+L13)/(F13)," - ")</f>
        <v>-0.56198347107438018</v>
      </c>
      <c r="BM13" s="901">
        <f>SUBTOTAL(9,BM9:BM12)</f>
        <v>0.25289580866126882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1923</v>
      </c>
      <c r="G15" s="596">
        <f>IF(ISNUMBER(IF(D_I="SI",Datos!I15,Datos!I15+Datos!AC15)),IF(D_I="SI",Datos!I15,Datos!I15+Datos!AC15)," - ")</f>
        <v>1871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139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2382</v>
      </c>
      <c r="AC15" s="224">
        <f>IF(ISNUMBER(Datos!Q15),Datos!Q15," - ")</f>
        <v>175</v>
      </c>
      <c r="AD15" s="224"/>
      <c r="AE15" s="224"/>
      <c r="AF15" s="224">
        <f>IF(ISNUMBER(IF(D_I="SI",Datos!L15,Datos!L15+Datos!AF15)),IF(D_I="SI",Datos!L15,Datos!L15+Datos!AF15)," - ")</f>
        <v>2004</v>
      </c>
      <c r="AG15" s="333"/>
      <c r="AH15" s="224"/>
      <c r="AI15" s="224"/>
      <c r="AJ15" s="1214"/>
      <c r="AK15" s="333"/>
      <c r="AL15" s="478"/>
      <c r="AM15" s="1214">
        <f>IF(ISNUMBER(Datos!R15),Datos!R15," - ")</f>
        <v>297</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294</v>
      </c>
      <c r="BD15" s="228">
        <f>IF(ISNUMBER(Datos!N15),Datos!N15," - ")</f>
        <v>1400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0.96711327649208279</v>
      </c>
      <c r="BH15" s="1214">
        <f>IF(ISNUMBER(((IF(D_I="SI",Datos!L15/Datos!K15,(Datos!L15+Datos!AF15)/(Datos!K15+Datos!AE15)))*11)/factor_trimestre),((IF(D_I="SI",Datos!L15/Datos!K15,(Datos!L15+Datos!AF15)/(Datos!K15+Datos!AE15)))*11)/factor_trimestre," - ")</f>
        <v>2.5239294710327456</v>
      </c>
      <c r="BI15" s="242">
        <f>IF(ISNUMBER('Resol  Asuntos'!D15/NºAsuntos!G15),'Resol  Asuntos'!D15/NºAsuntos!G15," - ")</f>
        <v>0.12342569269521411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949.57229890491362</v>
      </c>
      <c r="CF15" s="228">
        <f ca="1">AVERAGEIFS($AB:$AB,$BW:$BW,BW15,$BX:$BX,BX15)</f>
        <v>949.57229890491362</v>
      </c>
      <c r="CG15" s="1191">
        <v>0.7</v>
      </c>
      <c r="CH15" s="1191">
        <f ca="1">AVERAGEIF($BW:$BW,BW15,$AC:$AC)</f>
        <v>196.36363636363637</v>
      </c>
      <c r="CI15" s="228">
        <f ca="1">AVERAGEIFS($AC:$AC,$BW:$BW,BW15,$BX:$BX,BX15)</f>
        <v>196.36363636363637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805.66666666666663</v>
      </c>
      <c r="CR15" s="228">
        <f ca="1">AVERAGEIFS($AF:$AF,$BW:$BW,BW15,$BX:$BX,BX15)</f>
        <v>805.66666666666663</v>
      </c>
      <c r="CS15" s="1191">
        <v>1.3</v>
      </c>
      <c r="CT15" s="1191">
        <v>1.5</v>
      </c>
      <c r="CU15" s="1191">
        <f ca="1">AVERAGEIF($BW:$BW,$BW15,$AH:$AH)</f>
        <v>240.375</v>
      </c>
      <c r="CV15" s="228">
        <f ca="1">AVERAGEIFS($AH:$AH,$BW:$BW,$BW15,$BX:$BX,$BX15)</f>
        <v>240.375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2835.2727272727275</v>
      </c>
      <c r="DH15" s="1218">
        <f ca="1">AVERAGEIFS($AM:$AM,$BW:$BW,$BW15,$BX:$BX,$BX15)</f>
        <v>2835.2727272727275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3.4312995895950542</v>
      </c>
      <c r="ER15" s="1218">
        <f ca="1">AVERAGEIFS($BH:$BH,$BW:$BW,$BW15,$BX:$BX,$BX15)</f>
        <v>3.4312995895950542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949.57229890491362</v>
      </c>
      <c r="CF16" s="1218">
        <f ca="1">AVERAGEIFS($AB:$AB,$BW:$BW,BW16,$BX:$BX,BX16)</f>
        <v>949.57229890491362</v>
      </c>
      <c r="CG16" s="1191">
        <v>0.7</v>
      </c>
      <c r="CH16" s="1191">
        <f ca="1">AVERAGEIF($BW:$BW,BW16,$AC:$AC)</f>
        <v>196.36363636363637</v>
      </c>
      <c r="CI16" s="1218">
        <f ca="1">AVERAGEIFS($AC:$AC,$BW:$BW,BW16,$BX:$BX,BX16)</f>
        <v>196.36363636363637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805.66666666666663</v>
      </c>
      <c r="CR16" s="1218">
        <f ca="1">AVERAGEIFS($AF:$AF,$BW:$BW,BW16,$BX:$BX,BX16)</f>
        <v>805.66666666666663</v>
      </c>
      <c r="CS16" s="1191">
        <v>1.3</v>
      </c>
      <c r="CT16" s="1191">
        <v>1.5</v>
      </c>
      <c r="CU16" s="1191">
        <f ca="1">AVERAGEIF($BW:$BW,$BW16,$AH:$AH)</f>
        <v>240.375</v>
      </c>
      <c r="CV16" s="1218">
        <f ca="1">AVERAGEIFS($AH:$AH,$BW:$BW,$BW16,$BX:$BX,$BX16)</f>
        <v>240.375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2835.2727272727275</v>
      </c>
      <c r="DH16" s="1218">
        <f ca="1">AVERAGEIFS($AM:$AM,$BW:$BW,$BW16,$BX:$BX,$BX16)</f>
        <v>2835.2727272727275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3.4312995895950542</v>
      </c>
      <c r="ER16" s="1218">
        <f ca="1">AVERAGEIFS($BH:$BH,$BW:$BW,$BW16,$BX:$BX,$BX16)</f>
        <v>3.4312995895950542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949.57229890491362</v>
      </c>
      <c r="CF17" s="228">
        <f ca="1">AVERAGEIFS($AB:$AB,$BW:$BW,BW17,$BX:$BX,BX17)</f>
        <v>949.57229890491362</v>
      </c>
      <c r="CG17" s="1191">
        <v>0.7</v>
      </c>
      <c r="CH17" s="1191">
        <f ca="1">AVERAGEIF($BW:$BW,BW17,$AC:$AC)</f>
        <v>196.36363636363637</v>
      </c>
      <c r="CI17" s="228">
        <f ca="1">AVERAGEIFS($AC:$AC,$BW:$BW,BW17,$BX:$BX,BX17)</f>
        <v>196.36363636363637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805.66666666666663</v>
      </c>
      <c r="CR17" s="228">
        <f ca="1">AVERAGEIFS($AF:$AF,$BW:$BW,BW17,$BX:$BX,BX17)</f>
        <v>805.66666666666663</v>
      </c>
      <c r="CS17" s="1191">
        <v>1.3</v>
      </c>
      <c r="CT17" s="1191">
        <v>1.5</v>
      </c>
      <c r="CU17" s="1191">
        <f ca="1">AVERAGEIF($BW:$BW,$BW17,$AH:$AH)</f>
        <v>240.375</v>
      </c>
      <c r="CV17" s="228">
        <f ca="1">AVERAGEIFS($AH:$AH,$BW:$BW,$BW17,$BX:$BX,$BX17)</f>
        <v>240.375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2835.2727272727275</v>
      </c>
      <c r="DH17" s="1218">
        <f ca="1">AVERAGEIFS($AM:$AM,$BW:$BW,$BW17,$BX:$BX,$BX17)</f>
        <v>2835.2727272727275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3.4312995895950542</v>
      </c>
      <c r="ER17" s="1218">
        <f ca="1">AVERAGEIFS($BH:$BH,$BW:$BW,$BW17,$BX:$BX,$BX17)</f>
        <v>3.4312995895950542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275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278</v>
      </c>
      <c r="AC18" s="224">
        <f>IF(ISNUMBER(Datos!Q18),Datos!Q18," - ")</f>
        <v>0</v>
      </c>
      <c r="AD18" s="224"/>
      <c r="AE18" s="224"/>
      <c r="AF18" s="224">
        <f>IF(ISNUMBER(Datos!L18),Datos!L18,"-")</f>
        <v>310</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175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0.96527777777777779</v>
      </c>
      <c r="BH18" s="1214">
        <f>IF(ISNUMBER(((IF(D_I="SI",Datos!L18/Datos!K18,(Datos!L18+Datos!AF18)/(Datos!K18+Datos!AE18)))*11)/factor_trimestre),((IF(D_I="SI",Datos!L18/Datos!K18,(Datos!L18+Datos!AF18)/(Datos!K18+Datos!AE18)))*11)/factor_trimestre," - ")</f>
        <v>3.3453237410071943</v>
      </c>
      <c r="BI18" s="242">
        <f>IF(ISNUMBER('Resol  Asuntos'!D18/NºAsuntos!G18),'Resol  Asuntos'!D18/NºAsuntos!G18," - ")</f>
        <v>2.5179856115107913E-2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949.57229890491362</v>
      </c>
      <c r="CF18" s="228">
        <f ca="1">AVERAGEIFS($AB:$AB,$BW:$BW,BW18,$BX:$BX,BX18)</f>
        <v>949.57229890491362</v>
      </c>
      <c r="CG18" s="1191">
        <v>0.7</v>
      </c>
      <c r="CH18" s="1191">
        <f ca="1">AVERAGEIF($BW:$BW,BW18,$AC:$AC)</f>
        <v>196.36363636363637</v>
      </c>
      <c r="CI18" s="228">
        <f ca="1">AVERAGEIFS($AC:$AC,$BW:$BW,BW18,$BX:$BX,BX18)</f>
        <v>196.36363636363637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805.66666666666663</v>
      </c>
      <c r="CR18" s="228">
        <f ca="1">AVERAGEIFS($AF:$AF,$BW:$BW,BW18,$BX:$BX,BX18)</f>
        <v>805.66666666666663</v>
      </c>
      <c r="CS18" s="1191">
        <v>1.3</v>
      </c>
      <c r="CT18" s="1191">
        <v>1.5</v>
      </c>
      <c r="CU18" s="1191">
        <f ca="1">AVERAGEIF($BW:$BW,$BW18,$AH:$AH)</f>
        <v>240.375</v>
      </c>
      <c r="CV18" s="228">
        <f ca="1">AVERAGEIFS($AH:$AH,$BW:$BW,$BW18,$BX:$BX,$BX18)</f>
        <v>240.375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2835.2727272727275</v>
      </c>
      <c r="DH18" s="1218">
        <f ca="1">AVERAGEIFS($AM:$AM,$BW:$BW,$BW18,$BX:$BX,$BX18)</f>
        <v>2835.2727272727275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3.4312995895950542</v>
      </c>
      <c r="ER18" s="1218">
        <f ca="1">AVERAGEIFS($BH:$BH,$BW:$BW,$BW18,$BX:$BX,$BX18)</f>
        <v>3.4312995895950542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1923</v>
      </c>
      <c r="G19" s="895">
        <f>SUBTOTAL(9,G15:G18)</f>
        <v>2146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2660</v>
      </c>
      <c r="AC19" s="896">
        <f t="shared" si="5"/>
        <v>175</v>
      </c>
      <c r="AD19" s="896">
        <f t="shared" si="5"/>
        <v>0</v>
      </c>
      <c r="AE19" s="896">
        <f t="shared" si="5"/>
        <v>0</v>
      </c>
      <c r="AF19" s="896">
        <f t="shared" si="5"/>
        <v>2314</v>
      </c>
      <c r="AG19" s="896">
        <f t="shared" si="5"/>
        <v>0</v>
      </c>
      <c r="AH19" s="896">
        <f t="shared" si="5"/>
        <v>0</v>
      </c>
      <c r="AI19" s="896">
        <f t="shared" si="5"/>
        <v>0</v>
      </c>
      <c r="AJ19" s="896">
        <f t="shared" si="5"/>
        <v>0</v>
      </c>
      <c r="AK19" s="896">
        <f t="shared" si="5"/>
        <v>0</v>
      </c>
      <c r="AL19" s="896">
        <f t="shared" si="5"/>
        <v>0</v>
      </c>
      <c r="AM19" s="896">
        <f t="shared" si="5"/>
        <v>298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301</v>
      </c>
      <c r="BD19" s="896">
        <f t="shared" si="5"/>
        <v>1575</v>
      </c>
      <c r="BE19" s="896">
        <f t="shared" si="5"/>
        <v>0</v>
      </c>
      <c r="BF19" s="896">
        <f t="shared" si="5"/>
        <v>0</v>
      </c>
      <c r="BG19" s="896">
        <f>IF(ISNUMBER(Datos!K19/Datos!J19),Datos!K19/Datos!J19," - ")</f>
        <v>0.9669211195928753</v>
      </c>
      <c r="BH19" s="900">
        <f>IF(ISNUMBER(((Datos!L19/Datos!K19)*11)/factor_trimestre),((Datos!L19/Datos!K19)*11)/factor_trimestre," - ")</f>
        <v>2.609774436090226</v>
      </c>
      <c r="BI19" s="896">
        <f>SUBTOTAL(9,BI15:BI18)</f>
        <v>0.14860554881032204</v>
      </c>
      <c r="BJ19" s="896">
        <f>SUBTOTAL(9,BJ15:BJ18)</f>
        <v>0</v>
      </c>
      <c r="BK19" s="896">
        <f>SUBTOTAL(9,BK15:BK18)</f>
        <v>0</v>
      </c>
      <c r="BL19" s="896">
        <f>IF(ISNUMBER((I19-AB19+L19)/(F19)),(I19-AB19+L19)/(F19)," - ")</f>
        <v>-1.3832553302132085</v>
      </c>
      <c r="BM19" s="902">
        <f>IF(ISNUMBER((Datos!P19-Datos!Q19)/(Datos!R19-Datos!P19+Datos!Q19)),(Datos!P19-Datos!Q19)/(Datos!R19-Datos!P19+Datos!Q19)," - ")</f>
        <v>-0.10510510510510511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13</v>
      </c>
      <c r="F20" s="817">
        <f t="shared" si="7"/>
        <v>2044</v>
      </c>
      <c r="G20" s="817">
        <f t="shared" si="7"/>
        <v>2267</v>
      </c>
      <c r="H20" s="819">
        <f t="shared" si="7"/>
        <v>0</v>
      </c>
      <c r="I20" s="817">
        <f t="shared" si="7"/>
        <v>0</v>
      </c>
      <c r="J20" s="819">
        <f t="shared" si="7"/>
        <v>0</v>
      </c>
      <c r="K20" s="819">
        <f t="shared" si="7"/>
        <v>0</v>
      </c>
      <c r="L20" s="878">
        <f t="shared" si="7"/>
        <v>0</v>
      </c>
      <c r="M20" s="878">
        <f t="shared" si="7"/>
        <v>0</v>
      </c>
      <c r="N20" s="878">
        <f t="shared" si="7"/>
        <v>370</v>
      </c>
      <c r="O20" s="878">
        <f t="shared" si="7"/>
        <v>0</v>
      </c>
      <c r="P20" s="878">
        <f t="shared" si="7"/>
        <v>0</v>
      </c>
      <c r="Q20" s="819">
        <f t="shared" si="7"/>
        <v>764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2728</v>
      </c>
      <c r="AC20" s="818">
        <f t="shared" si="8"/>
        <v>720</v>
      </c>
      <c r="AD20" s="818">
        <f t="shared" si="8"/>
        <v>0</v>
      </c>
      <c r="AE20" s="818">
        <f t="shared" si="8"/>
        <v>0</v>
      </c>
      <c r="AF20" s="825">
        <f t="shared" si="8"/>
        <v>2417</v>
      </c>
      <c r="AG20" s="825">
        <f t="shared" si="8"/>
        <v>0</v>
      </c>
      <c r="AH20" s="825">
        <f t="shared" si="8"/>
        <v>641</v>
      </c>
      <c r="AI20" s="825">
        <f t="shared" si="8"/>
        <v>0</v>
      </c>
      <c r="AJ20" s="818">
        <f t="shared" si="8"/>
        <v>0</v>
      </c>
      <c r="AK20" s="825">
        <f t="shared" si="8"/>
        <v>0</v>
      </c>
      <c r="AL20" s="825">
        <f t="shared" si="8"/>
        <v>0</v>
      </c>
      <c r="AM20" s="825">
        <f t="shared" si="8"/>
        <v>10396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1160</v>
      </c>
      <c r="BD20" s="817">
        <f t="shared" si="8"/>
        <v>2626</v>
      </c>
      <c r="BE20" s="817">
        <f t="shared" si="8"/>
        <v>0</v>
      </c>
      <c r="BF20" s="827">
        <f t="shared" si="8"/>
        <v>0</v>
      </c>
      <c r="BG20" s="912">
        <f>IF(ISNUMBER(Datos!K20/Datos!J20),Datos!K20/Datos!J20," - ")</f>
        <v>0.90248356464572677</v>
      </c>
      <c r="BH20" s="912">
        <f>IF(ISNUMBER(((Datos!L20/Datos!K20)*11)/factor_trimestre),((Datos!L20/Datos!K20)*11)/factor_trimestre," - ")</f>
        <v>4.790165924726832</v>
      </c>
      <c r="BI20" s="810">
        <f>IF(ISNUMBER(Datos!J20/Datos!I20),Datos!J20/Datos!I20," - ")</f>
        <v>0.79167269047274835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-1.3346379647749511</v>
      </c>
      <c r="BM20" s="886">
        <f>IF(ISNUMBER((Datos!P20-Datos!Q20+R20)/(Datos!R20-Datos!P20+Datos!Q20-R20)),(Datos!P20-Datos!Q20+R20)/(Datos!R20-Datos!P20+Datos!Q20-R20)," - ")</f>
        <v>4.250386398763524E-3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906.8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2.7568097504180447</v>
      </c>
      <c r="F22" s="550">
        <f>IF(ISNUMBER(STDEV(F8:F19)),STDEV(F8:F19),"-")</f>
        <v>1040.3851850797055</v>
      </c>
      <c r="G22" s="551">
        <f>IF(ISNUMBER(STDEV(G8:G19)),STDEV(G8:G19),"-")</f>
        <v>1012.3528041152451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1311.722989049136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330.55552087501485</v>
      </c>
      <c r="BD22" s="550"/>
      <c r="BE22" s="550">
        <f>IF(ISNUMBER(STDEV(BE8:BE19)),STDEV(BE8:BE19),"-")</f>
        <v>0</v>
      </c>
      <c r="BF22" s="555">
        <f>IF(ISNUMBER(STDEV(BF8:BF19)),STDEV(BF8:BF19),"-")</f>
        <v>0</v>
      </c>
      <c r="BG22" s="772">
        <f>IF(ISNUMBER(STDEV(BG8:BG19)),STDEV(BG8:BG19),"-")</f>
        <v>0.18747519235199903</v>
      </c>
      <c r="BH22" s="773">
        <f>IF(ISNUMBER(STDEV(BH8:BH19)),STDEV(BH8:BH19),"-")</f>
        <v>2.1706680123020989</v>
      </c>
      <c r="BI22" s="248">
        <f>IF(ISNUMBER(STDEV(BI8:BI19)),STDEV(BI8:BI19),"-")</f>
        <v>0.12796479162077645</v>
      </c>
      <c r="BJ22" s="1415" t="str">
        <f>IF(ISNUMBER(BL22/BM22),BL22/BM22," - ")</f>
        <v xml:space="preserve"> - </v>
      </c>
      <c r="BK22" s="574"/>
      <c r="BL22" s="558">
        <f>IF(ISNUMBER(STDEV(BL8:BL19)),STDEV(BL8:BL19),"-")</f>
        <v>0.58072690079474865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XdVSdV5DT3dslYqjpgX5aAXm9i5HiAlcsjVSVE6SQ00v1SOyyFmS1R9FJt0kvKqglFMHDMEmZkeOtcqygEGHA==" saltValue="IfgUnS/7NvO0dDAbTSWig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JAEN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0.3317883352645809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0.23460978178418088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LsgC4E6+IKP5sZOBwbVCDre4tcDCuivCipeqjY4YclvgD+8EWVz5YBI7m2Pa3MxQpZRTNpLTtlOmJoPlJrNfA==" saltValue="di5o4SLgOmZGAgXe4CSOA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JAEN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mr1M3j/Dm4bB99SNEN4RHJdjnbVEsdgrhsNQ+7NlT2P5lFLmEpFBwgBJMMuDPlRGNUGFoi++k7YsRDLfA9tvA==" saltValue="yayL3roCF4LZYfFTkEiZS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JAEN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5H4+QSn0psQOv7yTB5WRSJ5vbRuK36akxXlyxpwZhsLuRuq7QsphHF04H4l92fdJ0bMHxO5gYsnHFVI57gu8w==" saltValue="5Mv9/qRsKAYkZ/+fOx6Lz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JAEN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698</v>
      </c>
      <c r="E9" s="403">
        <f t="shared" ref="E9:E13" si="0">IF(ISNUMBER(D9/B9),D9/B9," - ")</f>
        <v>139.6</v>
      </c>
      <c r="F9" s="402">
        <f>IF(ISNUMBER(Datos!N9),Datos!N9," - ")</f>
        <v>753</v>
      </c>
      <c r="G9" s="403">
        <f t="shared" ref="G9:G13" si="1">IF(ISNUMBER(F9/B9),F9/B9," - ")</f>
        <v>150.6</v>
      </c>
      <c r="H9" s="402">
        <f>IF(ISNUMBER(Datos!O9),Datos!O9," - ")</f>
        <v>790</v>
      </c>
      <c r="I9" s="403">
        <f>IF(ISNUMBER(H9/B9),H9/B9," - ")</f>
        <v>158</v>
      </c>
      <c r="BZ9" s="1181">
        <f>Datos!EZ9</f>
        <v>0</v>
      </c>
    </row>
    <row r="10" spans="1:78">
      <c r="A10" s="401" t="str">
        <f>Datos!A10</f>
        <v>Sección De Violencia sobre la Mujer del TI</v>
      </c>
      <c r="B10" s="426">
        <f>Datos!AO10</f>
        <v>1</v>
      </c>
      <c r="C10" s="409">
        <f>Datos!AQ10</f>
        <v>1</v>
      </c>
      <c r="D10" s="402">
        <f>IF(ISNUMBER(Datos!M10),Datos!M10," - ")</f>
        <v>12</v>
      </c>
      <c r="E10" s="403">
        <f>IF(ISNUMBER(D10/B10),D10/B10," - ")</f>
        <v>12</v>
      </c>
      <c r="F10" s="402">
        <f>IF(ISNUMBER(Datos!N10),Datos!N10," - ")</f>
        <v>52</v>
      </c>
      <c r="G10" s="403">
        <f>IF(ISNUMBER(F10/B10),F10/B10," - ")</f>
        <v>52</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3</v>
      </c>
      <c r="C11" s="409">
        <f>Datos!AQ11</f>
        <v>2</v>
      </c>
      <c r="D11" s="402">
        <f>IF(ISNUMBER(Datos!M11),Datos!M11," - ")</f>
        <v>149</v>
      </c>
      <c r="E11" s="403">
        <f t="shared" si="0"/>
        <v>49.666666666666664</v>
      </c>
      <c r="F11" s="402">
        <f>IF(ISNUMBER(Datos!N11),Datos!N11," - ")</f>
        <v>246</v>
      </c>
      <c r="G11" s="403">
        <f t="shared" si="1"/>
        <v>82</v>
      </c>
      <c r="H11" s="402">
        <f>IF(ISNUMBER(Datos!O11),Datos!O11," - ")</f>
        <v>180</v>
      </c>
      <c r="I11" s="403">
        <f t="shared" si="2"/>
        <v>60</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9</v>
      </c>
      <c r="C13" s="848">
        <f>Datos!AR13</f>
        <v>8</v>
      </c>
      <c r="D13" s="846">
        <f>SUBTOTAL(9,D9:D12)</f>
        <v>859</v>
      </c>
      <c r="E13" s="847">
        <f t="shared" si="0"/>
        <v>95.444444444444443</v>
      </c>
      <c r="F13" s="846">
        <f>SUBTOTAL(9,F9:F12)</f>
        <v>1051</v>
      </c>
      <c r="G13" s="847">
        <f t="shared" si="1"/>
        <v>116.77777777777777</v>
      </c>
      <c r="H13" s="846">
        <f>SUBTOTAL(9,H9:H12)</f>
        <v>977</v>
      </c>
      <c r="I13" s="847">
        <f>IF(ISNUMBER(H13/B13),H13/B13," - ")</f>
        <v>108.55555555555556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294</v>
      </c>
      <c r="E15" s="403">
        <f t="shared" ref="E15:E19" si="3">IF(ISNUMBER(D15/B15),D15/B15," - ")</f>
        <v>73.5</v>
      </c>
      <c r="F15" s="402">
        <f>IF(ISNUMBER(Datos!N15),Datos!N15," - ")</f>
        <v>1400</v>
      </c>
      <c r="G15" s="403">
        <f t="shared" ref="G15:G19" si="4">IF(ISNUMBER(F15/B15),F15/B15," - ")</f>
        <v>350</v>
      </c>
      <c r="H15" s="402">
        <f>IF(ISNUMBER(Datos!O15),Datos!O15," - ")</f>
        <v>83</v>
      </c>
      <c r="I15" s="403">
        <f t="shared" ref="I15:I18" si="5">IF(ISNUMBER(H15/B15),H15/B15," - ")</f>
        <v>20.75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7</v>
      </c>
      <c r="E18" s="403">
        <f>IF(ISNUMBER(D18/B18),D18/B18," - ")</f>
        <v>7</v>
      </c>
      <c r="F18" s="402">
        <f>IF(ISNUMBER(Datos!N18),Datos!N18," - ")</f>
        <v>175</v>
      </c>
      <c r="G18" s="403">
        <f>IF(ISNUMBER(F18/B18),F18/B18," - ")</f>
        <v>175</v>
      </c>
      <c r="H18" s="402">
        <f>IF(ISNUMBER(Datos!O18),Datos!O18," - ")</f>
        <v>1</v>
      </c>
      <c r="I18" s="403">
        <f t="shared" si="5"/>
        <v>1</v>
      </c>
      <c r="BZ18" s="1181">
        <f>Datos!EZ18</f>
        <v>0</v>
      </c>
    </row>
    <row r="19" spans="1:78" ht="14.25" thickTop="1" thickBot="1">
      <c r="A19" s="845" t="str">
        <f>Datos!A19</f>
        <v>TOTAL</v>
      </c>
      <c r="B19" s="846">
        <f>Datos!AP19</f>
        <v>5</v>
      </c>
      <c r="C19" s="848">
        <f>Datos!AR19</f>
        <v>5</v>
      </c>
      <c r="D19" s="846">
        <f>SUBTOTAL(9,D15:D18)</f>
        <v>301</v>
      </c>
      <c r="E19" s="847">
        <f t="shared" si="3"/>
        <v>60.2</v>
      </c>
      <c r="F19" s="846">
        <f>SUBTOTAL(9,F15:F18)</f>
        <v>1575</v>
      </c>
      <c r="G19" s="847">
        <f t="shared" si="4"/>
        <v>315</v>
      </c>
      <c r="H19" s="846">
        <f>SUBTOTAL(9,H15:H18)</f>
        <v>84</v>
      </c>
      <c r="I19" s="847">
        <f>IF(ISNUMBER(H19/B19),H19/B19," - ")</f>
        <v>16.8</v>
      </c>
      <c r="BZ19" s="1181"/>
    </row>
    <row r="20" spans="1:78" ht="14.25" thickTop="1" thickBot="1">
      <c r="A20" s="790" t="str">
        <f>Datos!A20</f>
        <v>TOTAL JURISDICCIONES</v>
      </c>
      <c r="B20" s="791">
        <f>Datos!AP20</f>
        <v>13</v>
      </c>
      <c r="C20" s="791">
        <f>Datos!AR20</f>
        <v>12</v>
      </c>
      <c r="D20" s="791">
        <f>SUBTOTAL(9,D8:D19)</f>
        <v>1160</v>
      </c>
      <c r="E20" s="792">
        <f>IF(ISNUMBER(D20/B20),D20/B20," - ")</f>
        <v>89.230769230769226</v>
      </c>
      <c r="F20" s="791">
        <f>SUBTOTAL(9,F8:F19)</f>
        <v>2626</v>
      </c>
      <c r="G20" s="792">
        <f>IF(ISNUMBER(F20/B20),F20/B20," - ")</f>
        <v>202</v>
      </c>
      <c r="H20" s="791">
        <f>SUBTOTAL(9,H8:H19)</f>
        <v>1061</v>
      </c>
      <c r="I20" s="792">
        <f>IF(ISNUMBER(H20/B20),H20/B20," - ")</f>
        <v>81.615384615384613</v>
      </c>
    </row>
    <row r="23" spans="1:78">
      <c r="A23" s="390" t="str">
        <f>Criterios!A4</f>
        <v>Fecha Informe: 18 jun. 2026</v>
      </c>
    </row>
    <row r="28" spans="1:78">
      <c r="A28" s="413"/>
    </row>
  </sheetData>
  <sheetProtection algorithmName="SHA-512" hashValue="f6S4HbbqvuJy5baBxqgxgqJgPWNY/p9FnvsehZuqkKjLus+zdfsdUgJLKsq6TgjgV53/zixMjocayT8Du9BV+g==" saltValue="SqpL0z1CVG7MgJkIg161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JAEN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518</v>
      </c>
      <c r="C9" s="433">
        <f>IF(ISNUMBER(Datos!Q9),Datos!Q9," - ")</f>
        <v>484</v>
      </c>
      <c r="D9" s="407">
        <f>IF(ISNUMBER(Datos!R9),Datos!R9," - ")</f>
        <v>8613</v>
      </c>
    </row>
    <row r="10" spans="1:4">
      <c r="A10" s="401" t="str">
        <f>Datos!A10</f>
        <v>Sección De Violencia sobre la Mujer del TI</v>
      </c>
      <c r="B10" s="432">
        <f>IF(ISNUMBER(Datos!P10),Datos!P10," - ")</f>
        <v>15</v>
      </c>
      <c r="C10" s="433">
        <f>IF(ISNUMBER(Datos!Q10),Datos!Q10," - ")</f>
        <v>4</v>
      </c>
      <c r="D10" s="407">
        <f>IF(ISNUMBER(Datos!R10),Datos!R10," - ")</f>
        <v>60</v>
      </c>
    </row>
    <row r="11" spans="1:4">
      <c r="A11" s="401" t="str">
        <f>Datos!A11</f>
        <v xml:space="preserve">Sección de Familia, infancia e incapacidad del TI                           </v>
      </c>
      <c r="B11" s="432">
        <f>IF(ISNUMBER(Datos!P11),Datos!P11," - ")</f>
        <v>91</v>
      </c>
      <c r="C11" s="433">
        <f>IF(ISNUMBER(Datos!Q11),Datos!Q11," - ")</f>
        <v>57</v>
      </c>
      <c r="D11" s="407">
        <f>IF(ISNUMBER(Datos!R11),Datos!R11," - ")</f>
        <v>1425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624</v>
      </c>
      <c r="C13" s="850">
        <f>SUBTOTAL(9,C9:C12)</f>
        <v>545</v>
      </c>
      <c r="D13" s="848">
        <f>SUBTOTAL(9,D9:D12)</f>
        <v>10098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139</v>
      </c>
      <c r="C15" s="433">
        <f>IF(ISNUMBER(Datos!Q15),Datos!Q15," - ")</f>
        <v>175</v>
      </c>
      <c r="D15" s="407">
        <f>IF(ISNUMBER(Datos!R15),Datos!R15," - ")</f>
        <v>297</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140</v>
      </c>
      <c r="C19" s="850">
        <f>SUBTOTAL(9,C15:C18)</f>
        <v>175</v>
      </c>
      <c r="D19" s="848">
        <f>SUBTOTAL(9,D15:D18)</f>
        <v>298</v>
      </c>
    </row>
    <row r="20" spans="1:4" ht="16.5" customHeight="1" thickTop="1" thickBot="1">
      <c r="A20" s="790" t="str">
        <f>Datos!A20</f>
        <v>TOTAL JURISDICCIONES</v>
      </c>
      <c r="B20" s="795">
        <f>SUBTOTAL(9,B8:B19)</f>
        <v>764</v>
      </c>
      <c r="C20" s="796">
        <f>SUBTOTAL(9,C8:C19)</f>
        <v>720</v>
      </c>
      <c r="D20" s="797">
        <f>SUBTOTAL(9,D8:D19)</f>
        <v>10396</v>
      </c>
    </row>
    <row r="21" spans="1:4" ht="7.5" customHeight="1"/>
    <row r="22" spans="1:4" ht="6" customHeight="1"/>
    <row r="23" spans="1:4">
      <c r="A23" s="390" t="str">
        <f>Criterios!A4</f>
        <v>Fecha Informe: 18 jun. 2026</v>
      </c>
    </row>
    <row r="28" spans="1:4">
      <c r="A28" s="413"/>
    </row>
  </sheetData>
  <sheetProtection algorithmName="SHA-512" hashValue="qkMxC61M/me3cEKkg9mXvpQAX5dDZKCTe1qMt/eDCl/88GEDcXUB12dNp47JHEcYHNih864OU9vXdIFdsZtAmw==" saltValue="wOPwUA7a+wn/sXRjhWp7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JAEN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-0.24823071479122436</v>
      </c>
      <c r="C9" s="455">
        <f>IF(ISNUMBER(
   IF(J_V="SI",(Datos!J9-Datos!T9)/Datos!T9,(Datos!J9+Datos!Z9-(Datos!T9+Datos!AH9))/(Datos!T9+Datos!AH9))
     ),IF(J_V="SI",(Datos!J9-Datos!T9)/Datos!T9,(Datos!J9+Datos!Z9-(Datos!T9+Datos!AH9))/(Datos!T9+Datos!AH9))," - ")</f>
        <v>-0.54040212443095603</v>
      </c>
      <c r="D9" s="455">
        <f>IF(ISNUMBER(
   IF(J_V="SI",(Datos!K9-Datos!U9)/Datos!U9,(Datos!K9+Datos!AA9-(Datos!U9+Datos!AI9))/(Datos!U9+Datos!AI9))
     ),IF(J_V="SI",(Datos!K9-Datos!U9)/Datos!U9,(Datos!K9+Datos!AA9-(Datos!U9+Datos!AI9))/(Datos!U9+Datos!AI9))," - ")</f>
        <v>-0.33914473684210528</v>
      </c>
      <c r="E9" s="455">
        <f>IF(ISNUMBER(
   IF(J_V="SI",(Datos!L9-Datos!V9)/Datos!V9,(Datos!L9+Datos!AB9-(Datos!V9+Datos!AJ9))/(Datos!V9+Datos!AJ9))
     ),IF(J_V="SI",(Datos!L9-Datos!V9)/Datos!V9,(Datos!L9+Datos!AB9-(Datos!V9+Datos!AJ9))/(Datos!V9+Datos!AJ9))," - ")</f>
        <v>-0.28359908883826879</v>
      </c>
      <c r="F9" s="455">
        <f>IF(ISNUMBER((Datos!M9-Datos!W9)/Datos!W9),(Datos!M9-Datos!W9)/Datos!W9," - ")</f>
        <v>-0.24622030237580994</v>
      </c>
      <c r="G9" s="456">
        <f>IF(ISNUMBER((Datos!N9-Datos!X9)/Datos!X9),(Datos!N9-Datos!X9)/Datos!X9," - ")</f>
        <v>-0.33480565371024734</v>
      </c>
      <c r="H9" s="454">
        <f>IF(ISNUMBER(((NºAsuntos!G9/NºAsuntos!E9)-Datos!BD9)/Datos!BD9),((NºAsuntos!G9/NºAsuntos!E9)-Datos!BD9)/Datos!BD9," - ")</f>
        <v>0.4378988639572518</v>
      </c>
      <c r="I9" s="455">
        <f>IF(ISNUMBER(((NºAsuntos!I9/NºAsuntos!G9)-Datos!BE9)/Datos!BE9),((NºAsuntos!I9/NºAsuntos!G9)-Datos!BE9)/Datos!BE9," - ")</f>
        <v>8.4051154769369363E-2</v>
      </c>
      <c r="J9" s="460">
        <f>IF(ISNUMBER((('Resol  Asuntos'!D9/NºAsuntos!G9)-Datos!BF9)/Datos!BF9),(('Resol  Asuntos'!D9/NºAsuntos!G9)-Datos!BF9)/Datos!BF9," - ")</f>
        <v>-6.6954886755184628E-2</v>
      </c>
      <c r="K9" s="461">
        <f>IF(ISNUMBER((((NºAsuntos!C9+NºAsuntos!E9)/NºAsuntos!G9)-Datos!BG9)/Datos!BG9),(((NºAsuntos!C9+NºAsuntos!E9)/NºAsuntos!G9)-Datos!BG9)/Datos!BG9," - ")</f>
        <v>-7.5795682519107038E-2</v>
      </c>
    </row>
    <row r="10" spans="1:11" ht="21">
      <c r="A10" s="401" t="str">
        <f>Datos!A10</f>
        <v>Sección De Violencia sobre la Mujer del TI</v>
      </c>
      <c r="B10" s="454">
        <f>IF(ISNUMBER((Datos!I10-Datos!S10)/Datos!S10),(Datos!I10-Datos!S10)/Datos!S10," - ")</f>
        <v>0.53164556962025311</v>
      </c>
      <c r="C10" s="455">
        <f>IF(ISNUMBER((Datos!J10-Datos!T10)/Datos!T10),(Datos!J10-Datos!T10)/Datos!T10," - ")</f>
        <v>-0.40476190476190477</v>
      </c>
      <c r="D10" s="455">
        <f>IF(ISNUMBER((Datos!K10-Datos!U10)/Datos!U10),(Datos!K10-Datos!U10)/Datos!U10," - ")</f>
        <v>-9.3333333333333338E-2</v>
      </c>
      <c r="E10" s="455">
        <f>IF(ISNUMBER((Datos!L10-Datos!V10)/Datos!V10),(Datos!L10-Datos!V10)/Datos!V10," - ")</f>
        <v>0.17045454545454544</v>
      </c>
      <c r="F10" s="455">
        <f>IF(ISNUMBER((Datos!M10-Datos!W10)/Datos!W10),(Datos!M10-Datos!W10)/Datos!W10," - ")</f>
        <v>-0.58620689655172409</v>
      </c>
      <c r="G10" s="456">
        <f>IF(ISNUMBER((Datos!N10-Datos!X10)/Datos!X10),(Datos!N10-Datos!X10)/Datos!X10," - ")</f>
        <v>0.5757575757575758</v>
      </c>
      <c r="H10" s="454">
        <f>IF(ISNUMBER(((NºAsuntos!G10/NºAsuntos!E10)-Datos!BD10)/Datos!BD10),((NºAsuntos!G10/NºAsuntos!E10)-Datos!BD10)/Datos!BD10," - ")</f>
        <v>0.5232</v>
      </c>
      <c r="I10" s="455">
        <f>IF(ISNUMBER(((NºAsuntos!I10/NºAsuntos!G10)-Datos!BE10)/Datos!BE10),((NºAsuntos!I10/NºAsuntos!G10)-Datos!BE10)/Datos!BE10," - ")</f>
        <v>0.29094251336898391</v>
      </c>
      <c r="J10" s="460">
        <f>IF(ISNUMBER((('Resol  Asuntos'!D10/NºAsuntos!G10)-Datos!BF10)/Datos!BF10),(('Resol  Asuntos'!D10/NºAsuntos!G10)-Datos!BF10)/Datos!BF10," - ")</f>
        <v>-0.54361054766734274</v>
      </c>
      <c r="K10" s="461">
        <f>IF(ISNUMBER((((NºAsuntos!C10+NºAsuntos!E10)/NºAsuntos!G10)-Datos!BG10)/Datos!BG10),(((NºAsuntos!C10+NºAsuntos!E10)/NºAsuntos!G10)-Datos!BG10)/Datos!BG10," - ")</f>
        <v>0.15707325875135328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-0.2952727272727273</v>
      </c>
      <c r="C11" s="455">
        <f>IF(ISNUMBER(
   IF(J_V="SI",(Datos!J11-Datos!T11)/Datos!T11,(Datos!J11+Datos!Z11-(Datos!T11+Datos!AH11))/(Datos!T11+Datos!AH11))
     ),IF(J_V="SI",(Datos!J11-Datos!T11)/Datos!T11,(Datos!J11+Datos!Z11-(Datos!T11+Datos!AH11))/(Datos!T11+Datos!AH11))," - ")</f>
        <v>-0.27925840092699883</v>
      </c>
      <c r="D11" s="455">
        <f>IF(ISNUMBER(
   IF(J_V="SI",(Datos!K11-Datos!U11)/Datos!U11,(Datos!K11+Datos!AA11-(Datos!U11+Datos!AI11))/(Datos!U11+Datos!AI11))
     ),IF(J_V="SI",(Datos!K11-Datos!U11)/Datos!U11,(Datos!K11+Datos!AA11-(Datos!U11+Datos!AI11))/(Datos!U11+Datos!AI11))," - ")</f>
        <v>-0.30434782608695654</v>
      </c>
      <c r="E11" s="455">
        <f>IF(ISNUMBER(
   IF(J_V="SI",(Datos!L11-Datos!V11)/Datos!V11,(Datos!L11+Datos!AB11-(Datos!V11+Datos!AJ11))/(Datos!V11+Datos!AJ11))
     ),IF(J_V="SI",(Datos!L11-Datos!V11)/Datos!V11,(Datos!L11+Datos!AB11-(Datos!V11+Datos!AJ11))/(Datos!V11+Datos!AJ11))," - ")</f>
        <v>-0.27364185110663986</v>
      </c>
      <c r="F11" s="455">
        <f>IF(ISNUMBER((Datos!M11-Datos!W11)/Datos!W11),(Datos!M11-Datos!W11)/Datos!W11," - ")</f>
        <v>-0.3165137614678899</v>
      </c>
      <c r="G11" s="456">
        <f>IF(ISNUMBER((Datos!N11-Datos!X11)/Datos!X11),(Datos!N11-Datos!X11)/Datos!X11," - ")</f>
        <v>-0.30704225352112674</v>
      </c>
      <c r="H11" s="454">
        <f>IF(ISNUMBER(((NºAsuntos!G11/NºAsuntos!E11)-Datos!BD11)/Datos!BD11),((NºAsuntos!G11/NºAsuntos!E11)-Datos!BD11)/Datos!BD11," - ")</f>
        <v>-3.481056899203136E-2</v>
      </c>
      <c r="I11" s="455">
        <f>IF(ISNUMBER(((NºAsuntos!I11/NºAsuntos!G11)-Datos!BE11)/Datos!BE11),((NºAsuntos!I11/NºAsuntos!G11)-Datos!BE11)/Datos!BE11," - ")</f>
        <v>4.4139839034205298E-2</v>
      </c>
      <c r="J11" s="460">
        <f>IF(ISNUMBER((('Resol  Asuntos'!D11/NºAsuntos!G11)-Datos!BF11)/Datos!BF11),(('Resol  Asuntos'!D11/NºAsuntos!G11)-Datos!BF11)/Datos!BF11," - ")</f>
        <v>-0.39665492957746479</v>
      </c>
      <c r="K11" s="461">
        <f>IF(ISNUMBER((((NºAsuntos!C11+NºAsuntos!E11)/NºAsuntos!G11)-Datos!BG11)/Datos!BG11),(((NºAsuntos!C11+NºAsuntos!E11)/NºAsuntos!G11)-Datos!BG11)/Datos!BG11," - ")</f>
        <v>2.1922475424486179E-2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-0.24866310160427807</v>
      </c>
      <c r="C13" s="852">
        <f>IF(ISNUMBER(
   IF(J_V="SI",(Datos!J13-Datos!T13)/Datos!T13,(Datos!J13+Datos!Z13-(Datos!T13+Datos!AH13))/(Datos!T13+Datos!AH13))
     ),IF(J_V="SI",(Datos!J13-Datos!T13)/Datos!T13,(Datos!J13+Datos!Z13-(Datos!T13+Datos!AH13))/(Datos!T13+Datos!AH13))," - ")</f>
        <v>-0.50233156456021866</v>
      </c>
      <c r="D13" s="852">
        <f>IF(ISNUMBER(
   IF(J_V="SI",(Datos!K13-Datos!U13)/Datos!U13,(Datos!K13+Datos!AA13-(Datos!U13+Datos!AI13))/(Datos!U13+Datos!AI13))
     ),IF(J_V="SI",(Datos!K13-Datos!U13)/Datos!U13,(Datos!K13+Datos!AA13-(Datos!U13+Datos!AI13))/(Datos!U13+Datos!AI13))," - ")</f>
        <v>-0.32770708906777463</v>
      </c>
      <c r="E13" s="852">
        <f>IF(ISNUMBER(
   IF(J_V="SI",(Datos!L13-Datos!V13)/Datos!V13,(Datos!L13+Datos!AB13-(Datos!V13+Datos!AJ13))/(Datos!V13+Datos!AJ13))
     ),IF(J_V="SI",(Datos!L13-Datos!V13)/Datos!V13,(Datos!L13+Datos!AB13-(Datos!V13+Datos!AJ13))/(Datos!V13+Datos!AJ13))," - ")</f>
        <v>-0.27722887364872717</v>
      </c>
      <c r="F13" s="853">
        <f>IF(ISNUMBER((Datos!M13-Datos!W13)/Datos!W13),(Datos!M13-Datos!W13)/Datos!W13," - ")</f>
        <v>-0.26768968456947995</v>
      </c>
      <c r="G13" s="854">
        <f>IF(ISNUMBER((Datos!N13-Datos!X13)/Datos!X13),(Datos!N13-Datos!X13)/Datos!X13," - ")</f>
        <v>-0.30855263157894736</v>
      </c>
      <c r="H13" s="854">
        <f>IF(ISNUMBER(((NºAsuntos!G13/NºAsuntos!E13)-Datos!BD13)/Datos!BD13),((NºAsuntos!G13/NºAsuntos!E13)-Datos!BD13)/Datos!BD13," - ")</f>
        <v>0.35088517385703072</v>
      </c>
      <c r="I13" s="854">
        <f>IF(ISNUMBER(((NºAsuntos!I13/NºAsuntos!G13)-Datos!BE13)/Datos!BE13),((NºAsuntos!I13/NºAsuntos!G13)-Datos!BE13)/Datos!BE13," - ")</f>
        <v>7.5083664572712164E-2</v>
      </c>
      <c r="J13" s="854">
        <f>IF(ISNUMBER((('Resol  Asuntos'!D13/NºAsuntos!G13)-Datos!BF13)/Datos!BF13),(('Resol  Asuntos'!D13/NºAsuntos!G13)-Datos!BF13)/Datos!BF13," - ")</f>
        <v>-0.15717883964122617</v>
      </c>
      <c r="K13" s="854">
        <f>IF(ISNUMBER((((NºAsuntos!C13+NºAsuntos!E13)/NºAsuntos!G13)-Datos!BG13)/Datos!BG13),(((NºAsuntos!C13+NºAsuntos!E13)/NºAsuntos!G13)-Datos!BG13)/Datos!BG13," - ")</f>
        <v>-5.8527048698600016E-2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0.10906935388263189</v>
      </c>
      <c r="C15" s="455">
        <f>IF(ISNUMBER(
   IF(D_I="SI",(Datos!J15-Datos!T15)/Datos!T15,(Datos!J15+Datos!AD15-(Datos!T15+Datos!AL15))/(Datos!T15+Datos!AL15))
     ),IF(D_I="SI",(Datos!J15-Datos!T15)/Datos!T15,(Datos!J15+Datos!AD15-(Datos!T15+Datos!AL15))/(Datos!T15+Datos!AL15))," - ")</f>
        <v>-3.0696576151121605E-2</v>
      </c>
      <c r="D15" s="455">
        <f>IF(ISNUMBER(
   IF(D_I="SI",(Datos!K15-Datos!U15)/Datos!U15,(Datos!K15+Datos!AE15-(Datos!U15+Datos!AM15))/(Datos!U15+Datos!AM15))
     ),IF(D_I="SI",(Datos!K15-Datos!U15)/Datos!U15,(Datos!K15+Datos!AE15-(Datos!U15+Datos!AM15))/(Datos!U15+Datos!AM15))," - ")</f>
        <v>-1.4480761274306992E-2</v>
      </c>
      <c r="E15" s="455">
        <f>IF(ISNUMBER(
   IF(D_I="SI",(Datos!L15-Datos!V15)/Datos!V15,(Datos!L15+Datos!AF15-(Datos!V15+Datos!AN15))/(Datos!V15+Datos!AN15))
     ),IF(D_I="SI",(Datos!L15-Datos!V15)/Datos!V15,(Datos!L15+Datos!AF15-(Datos!V15+Datos!AN15))/(Datos!V15+Datos!AN15))," - ")</f>
        <v>9.3289689034369891E-2</v>
      </c>
      <c r="F15" s="455">
        <f>IF(ISNUMBER((Datos!M15-Datos!W15)/Datos!W15),(Datos!M15-Datos!W15)/Datos!W15," - ")</f>
        <v>6.9090909090909092E-2</v>
      </c>
      <c r="G15" s="456">
        <f>IF(ISNUMBER((Datos!N15-Datos!X15)/Datos!X15),(Datos!N15-Datos!X15)/Datos!X15," - ")</f>
        <v>-3.5148173673328738E-2</v>
      </c>
      <c r="H15" s="454">
        <f>IF(ISNUMBER(((NºAsuntos!G15/NºAsuntos!E15)-Datos!BD15)/Datos!BD15),((NºAsuntos!G15/NºAsuntos!E15)-Datos!BD15)/Datos!BD15," - ")</f>
        <v>1.6729348600075484E-2</v>
      </c>
      <c r="I15" s="455">
        <f>IF(ISNUMBER(((NºAsuntos!I15/NºAsuntos!G15)-Datos!BE15)/Datos!BE15),((NºAsuntos!I15/NºAsuntos!G15)-Datos!BE15)/Datos!BE15," - ")</f>
        <v>0.109353979175513</v>
      </c>
      <c r="J15" s="460">
        <f>IF(ISNUMBER((('Resol  Asuntos'!D15/NºAsuntos!G15)-Datos!BF15)/Datos!BF15),(('Resol  Asuntos'!D15/NºAsuntos!G15)-Datos!BF15)/Datos!BF15," - ")</f>
        <v>8.4799633615754585E-2</v>
      </c>
      <c r="K15" s="461">
        <f>IF(ISNUMBER((((NºAsuntos!C15+NºAsuntos!E15)/NºAsuntos!G15)-Datos!BG15)/Datos!BG15),(((NºAsuntos!C15+NºAsuntos!E15)/NºAsuntos!G15)-Datos!BG15)/Datos!BG15," - ")</f>
        <v>4.0132871337935902E-2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-0.15123456790123457</v>
      </c>
      <c r="C18" s="455">
        <f>IF(ISNUMBER(
   IF(D_I="SI",(Datos!J18-Datos!T18)/Datos!T18,(Datos!J18+Datos!AD18-(Datos!T18+Datos!AL18))/(Datos!T18+Datos!AL18))
     ),IF(D_I="SI",(Datos!J18-Datos!T18)/Datos!T18,(Datos!J18+Datos!AD18-(Datos!T18+Datos!AL18))/(Datos!T18+Datos!AL18))," - ")</f>
        <v>-9.1482649842271294E-2</v>
      </c>
      <c r="D18" s="455">
        <f>IF(ISNUMBER(
   IF(D_I="SI",(Datos!K18-Datos!U18)/Datos!U18,(Datos!K18+Datos!AE18-(Datos!U18+Datos!AM18))/(Datos!U18+Datos!AM18))
     ),IF(D_I="SI",(Datos!K18-Datos!U18)/Datos!U18,(Datos!K18+Datos!AE18-(Datos!U18+Datos!AM18))/(Datos!U18+Datos!AM18))," - ")</f>
        <v>-7.6411960132890366E-2</v>
      </c>
      <c r="E18" s="455">
        <f>IF(ISNUMBER(
   IF(D_I="SI",(Datos!L18-Datos!V18)/Datos!V18,(Datos!L18+Datos!AF18-(Datos!V18+Datos!AN18))/(Datos!V18+Datos!AN18))
     ),IF(D_I="SI",(Datos!L18-Datos!V18)/Datos!V18,(Datos!L18+Datos!AF18-(Datos!V18+Datos!AN18))/(Datos!V18+Datos!AN18))," - ")</f>
        <v>-8.8235294117647065E-2</v>
      </c>
      <c r="F18" s="455">
        <f>IF(ISNUMBER((Datos!M18-Datos!W18)/Datos!W18),(Datos!M18-Datos!W18)/Datos!W18," - ")</f>
        <v>0</v>
      </c>
      <c r="G18" s="456">
        <f>IF(ISNUMBER((Datos!N18-Datos!X18)/Datos!X18),(Datos!N18-Datos!X18)/Datos!X18," - ")</f>
        <v>0.4</v>
      </c>
      <c r="H18" s="454">
        <f>IF(ISNUMBER(((NºAsuntos!G18/NºAsuntos!E18)-Datos!BD18)/Datos!BD18),((NºAsuntos!G18/NºAsuntos!E18)-Datos!BD18)/Datos!BD18," - ")</f>
        <v>1.6588224437061681E-2</v>
      </c>
      <c r="I18" s="455">
        <f>IF(ISNUMBER(((NºAsuntos!I18/NºAsuntos!G18)-Datos!BE18)/Datos!BE18),((NºAsuntos!I18/NºAsuntos!G18)-Datos!BE18)/Datos!BE18," - ")</f>
        <v>-1.2801523487092785E-2</v>
      </c>
      <c r="J18" s="460">
        <f>IF(ISNUMBER((('Resol  Asuntos'!D18/NºAsuntos!G18)-Datos!BF18)/Datos!BF18),(('Resol  Asuntos'!D18/NºAsuntos!G18)-Datos!BF18)/Datos!BF18," - ")</f>
        <v>8.2733812949640287E-2</v>
      </c>
      <c r="K18" s="461">
        <f>IF(ISNUMBER((((NºAsuntos!C18+NºAsuntos!E18)/NºAsuntos!G18)-Datos!BG18)/Datos!BG18),(((NºAsuntos!C18+NºAsuntos!E18)/NºAsuntos!G18)-Datos!BG18)/Datos!BG18," - ")</f>
        <v>-4.9018507502890052E-2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6.7130780706116361E-2</v>
      </c>
      <c r="C19" s="852">
        <f>IF(ISNUMBER(
   IF(Criterios!B14="SI",(Datos!J19-Datos!T19)/Datos!T19,(Datos!J19+Datos!AD19-(Datos!T19+Datos!AL19))/(Datos!T19+Datos!AL19))
     ),IF(Criterios!B14="SI",(Datos!J19-Datos!T19)/Datos!T19,(Datos!J19+Datos!AD19-(Datos!T19+Datos!AL19))/(Datos!T19+Datos!AL19))," - ")</f>
        <v>-3.7438768369489152E-2</v>
      </c>
      <c r="D19" s="852">
        <f>IF(ISNUMBER(
   IF(Criterios!B14="SI",(Datos!K19-Datos!U19)/Datos!U19,(Datos!K19+Datos!AE19-(Datos!U19+Datos!AM19))/(Datos!U19+Datos!AM19))
     ),IF(Criterios!B14="SI",(Datos!K19-Datos!U19)/Datos!U19,(Datos!K19+Datos!AE19-(Datos!U19+Datos!AM19))/(Datos!U19+Datos!AM19))," - ")</f>
        <v>-2.1339220014716703E-2</v>
      </c>
      <c r="E19" s="852">
        <f>IF(ISNUMBER(
   IF(Criterios!B14="SI",(Datos!L19-Datos!V19)/Datos!V19,(Datos!L19+Datos!AF19-(Datos!V19+Datos!AN19))/(Datos!V19+Datos!AN19))
     ),IF(Criterios!B14="SI",(Datos!L19-Datos!V19)/Datos!V19,(Datos!L19+Datos!AF19-(Datos!V19+Datos!AN19))/(Datos!V19+Datos!AN19))," - ")</f>
        <v>6.4887252646111365E-2</v>
      </c>
      <c r="F19" s="853">
        <f>IF(ISNUMBER((Datos!M19-Datos!W19)/Datos!W19),(Datos!M19-Datos!W19)/Datos!W19," - ")</f>
        <v>6.7375886524822695E-2</v>
      </c>
      <c r="G19" s="854">
        <f>IF(ISNUMBER((Datos!N19-Datos!X19)/Datos!X19),(Datos!N19-Datos!X19)/Datos!X19," - ")</f>
        <v>-6.3451776649746188E-4</v>
      </c>
      <c r="H19" s="854">
        <f>IF(ISNUMBER(((NºAsuntos!G19/NºAsuntos!E19)-Datos!BD19)/Datos!BD19),((NºAsuntos!G19/NºAsuntos!E19)-Datos!BD19)/Datos!BD19," - ")</f>
        <v>1.6725739439454639E-2</v>
      </c>
      <c r="I19" s="854">
        <f>IF(ISNUMBER(((NºAsuntos!I19/NºAsuntos!G19)-Datos!BE19)/Datos!BE19),((NºAsuntos!I19/NºAsuntos!G19)-Datos!BE19)/Datos!BE19," - ")</f>
        <v>8.8106598756440072E-2</v>
      </c>
      <c r="J19" s="854">
        <f>IF(ISNUMBER((('Resol  Asuntos'!D19/NºAsuntos!G19)-Datos!BF19)/Datos!BF19),(('Resol  Asuntos'!D19/NºAsuntos!G19)-Datos!BF19)/Datos!BF19," - ")</f>
        <v>9.0649496080627126E-2</v>
      </c>
      <c r="K19" s="854">
        <f>IF(ISNUMBER((((NºAsuntos!C19+NºAsuntos!E19)/NºAsuntos!G19)-Datos!BG19)/Datos!BG19),(((NºAsuntos!C19+NºAsuntos!E19)/NºAsuntos!G19)-Datos!BG19)/Datos!BG19," - ")</f>
        <v>2.7680569260489486E-2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-0.17900625205659756</v>
      </c>
      <c r="C20" s="799">
        <f>IF(ISNUMBER(
   IF(J_V="SI",(Datos!J20-Datos!T20)/Datos!T20,(Datos!J20+Datos!Z20-(Datos!T20+Datos!AH20))/(Datos!T20+Datos!AH20))
     ),IF(J_V="SI",(Datos!J20-Datos!T20)/Datos!T20,(Datos!J20+Datos!Z20-(Datos!T20+Datos!AH20))/(Datos!T20+Datos!AH20))," - ")</f>
        <v>-0.35595461055414784</v>
      </c>
      <c r="D20" s="799">
        <f>IF(ISNUMBER(
   IF(J_V="SI",(Datos!K20-Datos!U20)/Datos!U20,(Datos!K20+Datos!AA20-(Datos!U20+Datos!AI20))/(Datos!U20+Datos!AI20))
     ),IF(J_V="SI",(Datos!K20-Datos!U20)/Datos!U20,(Datos!K20+Datos!AA20-(Datos!U20+Datos!AI20))/(Datos!U20+Datos!AI20))," - ")</f>
        <v>-0.20094382706652458</v>
      </c>
      <c r="E20" s="799">
        <f>IF(ISNUMBER(
   IF(J_V="SI",(Datos!L20-Datos!V20)/Datos!V20,(Datos!L20+Datos!AB20-(Datos!V20+Datos!AJ20))/(Datos!V20+Datos!AJ20))
     ),IF(J_V="SI",(Datos!L20-Datos!V20)/Datos!V20,(Datos!L20+Datos!AB20-(Datos!V20+Datos!AJ20))/(Datos!V20+Datos!AJ20))," - ")</f>
        <v>-0.20824053452115812</v>
      </c>
      <c r="F20" s="800">
        <f>IF(ISNUMBER((Datos!M20-Datos!W20)/Datos!W20),(Datos!M20-Datos!W20)/Datos!W20," - ")</f>
        <v>-0.20274914089347079</v>
      </c>
      <c r="G20" s="801">
        <f>IF(ISNUMBER((Datos!N20-Datos!X20)/Datos!X20),(Datos!N20-Datos!X20)/Datos!X20," - ")</f>
        <v>-0.15180878552971577</v>
      </c>
      <c r="H20" s="802">
        <f>IF(ISNUMBER((Tasas!B20-Datos!BD20)/Datos!BD20),(Tasas!B20-Datos!BD20)/Datos!BD20," - ")</f>
        <v>0.24068301089927416</v>
      </c>
      <c r="I20" s="803">
        <f>IF(ISNUMBER((Tasas!C20-Datos!BE20)/Datos!BE20),(Tasas!C20-Datos!BE20)/Datos!BE20," - ")</f>
        <v>-9.1316577004167884E-3</v>
      </c>
      <c r="J20" s="804">
        <f>IF(ISNUMBER((Tasas!D20-Datos!BF20)/Datos!BF20),(Tasas!D20-Datos!BF20)/Datos!BF20," - ")</f>
        <v>-0.19259582470393755</v>
      </c>
      <c r="K20" s="804">
        <f>IF(ISNUMBER((Tasas!E20-Datos!BG20)/Datos!BG20),(Tasas!E20-Datos!BG20)/Datos!BG20," - ")</f>
        <v>-8.3025566431169318E-2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ghoHLswE6TOzx9V3XYRJ+nce3RMVe4tg7Il7tu1N5m4EtlNLMrbPs5Q2Jrd6skajWtGzZkoHkJum8Pp1J7R5g==" saltValue="BbNvQ/mCAHicRdNaDOAvC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JAEN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0.82913743293437892</v>
      </c>
      <c r="C9" s="442">
        <f>IF(ISNUMBER(NºAsuntos!I9/NºAsuntos!G9),NºAsuntos!I9/NºAsuntos!G9," - ")</f>
        <v>2.5047287207565954</v>
      </c>
      <c r="D9" s="443">
        <f>IF(ISNUMBER('Resol  Asuntos'!D9/NºAsuntos!G9),'Resol  Asuntos'!D9/NºAsuntos!G9," - ")</f>
        <v>0.34743653558984572</v>
      </c>
      <c r="E9" s="444">
        <f>IF(ISNUMBER((NºAsuntos!C9+NºAsuntos!E9)/NºAsuntos!G9),(NºAsuntos!C9+NºAsuntos!E9)/NºAsuntos!G9," - ")</f>
        <v>3.3210552513688403</v>
      </c>
      <c r="G9" s="462"/>
    </row>
    <row r="10" spans="1:7" ht="21">
      <c r="A10" s="401" t="str">
        <f>Datos!A10</f>
        <v>Sección De Violencia sobre la Mujer del TI</v>
      </c>
      <c r="B10" s="441">
        <f>IF(ISNUMBER(NºAsuntos!G10/NºAsuntos!E10),NºAsuntos!G10/NºAsuntos!E10," - ")</f>
        <v>1.36</v>
      </c>
      <c r="C10" s="442">
        <f>IF(ISNUMBER(NºAsuntos!I10/NºAsuntos!G10),NºAsuntos!I10/NºAsuntos!G10," - ")</f>
        <v>1.5147058823529411</v>
      </c>
      <c r="D10" s="443">
        <f>IF(ISNUMBER('Resol  Asuntos'!D10/NºAsuntos!G10),'Resol  Asuntos'!D10/NºAsuntos!G10," - ")</f>
        <v>0.17647058823529413</v>
      </c>
      <c r="E10" s="444">
        <f>IF(ISNUMBER((NºAsuntos!C10+NºAsuntos!E10)/NºAsuntos!G10),(NºAsuntos!C10+NºAsuntos!E10)/NºAsuntos!G10," - ")</f>
        <v>2.5147058823529411</v>
      </c>
      <c r="G10" s="462"/>
    </row>
    <row r="11" spans="1:7" ht="21">
      <c r="A11" s="401" t="str">
        <f>Datos!A11</f>
        <v xml:space="preserve">Sección de Familia, infancia e incapacidad del TI                           </v>
      </c>
      <c r="B11" s="441">
        <f>IF(ISNUMBER(NºAsuntos!G11/NºAsuntos!E11),NºAsuntos!G11/NºAsuntos!E11," - ")</f>
        <v>0.82315112540192925</v>
      </c>
      <c r="C11" s="442">
        <f>IF(ISNUMBER(NºAsuntos!I11/NºAsuntos!G11),NºAsuntos!I11/NºAsuntos!G11," - ")</f>
        <v>2.115234375</v>
      </c>
      <c r="D11" s="443">
        <f>IF(ISNUMBER('Resol  Asuntos'!D11/NºAsuntos!G11),'Resol  Asuntos'!D11/NºAsuntos!G11," - ")</f>
        <v>0.291015625</v>
      </c>
      <c r="E11" s="444">
        <f>IF(ISNUMBER((NºAsuntos!C11+NºAsuntos!E11)/NºAsuntos!G11),(NºAsuntos!C11+NºAsuntos!E11)/NºAsuntos!G11," - ")</f>
        <v>3.107421875</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0.83651050080775446</v>
      </c>
      <c r="C13" s="856">
        <f>IF(ISNUMBER(NºAsuntos!I13/NºAsuntos!G13),NºAsuntos!I13/NºAsuntos!G13," - ")</f>
        <v>2.4016994978756276</v>
      </c>
      <c r="D13" s="857">
        <f>IF(ISNUMBER('Resol  Asuntos'!D13/NºAsuntos!G13),'Resol  Asuntos'!D13/NºAsuntos!G13," - ")</f>
        <v>0.3317883352645809</v>
      </c>
      <c r="E13" s="858">
        <f>IF(ISNUMBER((NºAsuntos!C13+NºAsuntos!E13)/NºAsuntos!G13),(NºAsuntos!C13+NºAsuntos!E13)/NºAsuntos!G13," - ")</f>
        <v>3.2576284279644652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0.96711327649208279</v>
      </c>
      <c r="C15" s="442">
        <f>IF(ISNUMBER(NºAsuntos!I15/NºAsuntos!G15),NºAsuntos!I15/NºAsuntos!G15," - ")</f>
        <v>0.84130982367758189</v>
      </c>
      <c r="D15" s="443">
        <f>IF(ISNUMBER('Resol  Asuntos'!D15/NºAsuntos!G15),'Resol  Asuntos'!D15/NºAsuntos!G15," - ")</f>
        <v>0.12342569269521411</v>
      </c>
      <c r="E15" s="444">
        <f>IF(ISNUMBER((NºAsuntos!C15+NºAsuntos!E15)/NºAsuntos!G15),(NºAsuntos!C15+NºAsuntos!E15)/NºAsuntos!G15," - ")</f>
        <v>1.8194794290512175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0.96527777777777779</v>
      </c>
      <c r="C18" s="442">
        <f>IF(ISNUMBER(NºAsuntos!I18/NºAsuntos!G18),NºAsuntos!I18/NºAsuntos!G18," - ")</f>
        <v>1.1151079136690647</v>
      </c>
      <c r="D18" s="443">
        <f>IF(ISNUMBER('Resol  Asuntos'!D18/NºAsuntos!G18),'Resol  Asuntos'!D18/NºAsuntos!G18," - ")</f>
        <v>2.5179856115107913E-2</v>
      </c>
      <c r="E18" s="444">
        <f>IF(ISNUMBER((NºAsuntos!C18+NºAsuntos!E18)/NºAsuntos!G18),(NºAsuntos!C18+NºAsuntos!E18)/NºAsuntos!G18," - ")</f>
        <v>2.0251798561151078</v>
      </c>
      <c r="G18" s="462"/>
    </row>
    <row r="19" spans="1:7" ht="14.25" thickTop="1" thickBot="1">
      <c r="A19" s="845" t="str">
        <f>Datos!A19</f>
        <v>TOTAL</v>
      </c>
      <c r="B19" s="855">
        <f>IF(ISNUMBER(NºAsuntos!G19/NºAsuntos!E19),NºAsuntos!G19/NºAsuntos!E19," - ")</f>
        <v>0.9669211195928753</v>
      </c>
      <c r="C19" s="856">
        <f>IF(ISNUMBER(NºAsuntos!I19/NºAsuntos!G19),NºAsuntos!I19/NºAsuntos!G19," - ")</f>
        <v>0.86992481203007521</v>
      </c>
      <c r="D19" s="859">
        <f>IF(ISNUMBER('Resol  Asuntos'!D19/NºAsuntos!G19),'Resol  Asuntos'!D19/NºAsuntos!G19," - ")</f>
        <v>0.11315789473684211</v>
      </c>
      <c r="E19" s="858">
        <f>IF(ISNUMBER((NºAsuntos!C19+NºAsuntos!E19)/NºAsuntos!G19),(NºAsuntos!C19+NºAsuntos!E19)/NºAsuntos!G19," - ")</f>
        <v>1.8409774436090225</v>
      </c>
      <c r="G19" s="462"/>
    </row>
    <row r="20" spans="1:7" ht="15.75" customHeight="1" thickTop="1" thickBot="1">
      <c r="A20" s="790" t="str">
        <f>Datos!A20</f>
        <v>TOTAL JURISDICCIONES</v>
      </c>
      <c r="B20" s="805">
        <f>IF(ISNUMBER(NºAsuntos!G20/NºAsuntos!E20),NºAsuntos!G20/NºAsuntos!E20," - ")</f>
        <v>0.89787889154977762</v>
      </c>
      <c r="C20" s="806">
        <f>IF(ISNUMBER(NºAsuntos!I20/NºAsuntos!G20),NºAsuntos!I20/NºAsuntos!G20," - ")</f>
        <v>1.6254524671365975</v>
      </c>
      <c r="D20" s="807">
        <f>IF(ISNUMBER('Resol  Asuntos'!D20/NºAsuntos!G20),'Resol  Asuntos'!D20/NºAsuntos!G20," - ")</f>
        <v>0.22099447513812154</v>
      </c>
      <c r="E20" s="808">
        <f>IF(ISNUMBER((NºAsuntos!C20+NºAsuntos!E20)/NºAsuntos!G20),(NºAsuntos!C20+NºAsuntos!E20)/NºAsuntos!G20," - ")</f>
        <v>2.5397218517812918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n9Id4gKI/XHCOxrjOEgr9Fo938NNFiDPpzd3qDiIkbWJ4qJRMJX1QKstSUSofUWkIwMSSY1YuOjOYRnMchpVg==" saltValue="+AB9iI2je7hWPtRKWpR9Y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JAEN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518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484</v>
      </c>
      <c r="Y9" s="333">
        <f>SUM(W9:X9)</f>
        <v>484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8613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698</v>
      </c>
      <c r="AJ9" s="228" t="str">
        <f>IF(ISNUMBER(Datos!BW9),Datos!BW9," - ")</f>
        <v xml:space="preserve"> - </v>
      </c>
      <c r="AK9" s="227" t="str">
        <f>IF(ISNUMBER(Datos!BX9),Datos!BX9," - ")</f>
        <v xml:space="preserve"> - </v>
      </c>
      <c r="AL9" s="242">
        <f>IF(ISNUMBER(NºAsuntos!G9/NºAsuntos!E9),NºAsuntos!G9/NºAsuntos!E9," - ")</f>
        <v>0.82913743293437892</v>
      </c>
      <c r="AM9" s="259">
        <f>IF(ISNUMBER(((NºAsuntos!I9/NºAsuntos!G9)*11)/factor_trimestre),((NºAsuntos!I9/NºAsuntos!G9)*11)/factor_trimestre," - ")</f>
        <v>7.5141861622697865</v>
      </c>
      <c r="AN9" s="243">
        <f>IF(ISNUMBER('Resol  Asuntos'!D9/NºAsuntos!G9),'Resol  Asuntos'!D9/NºAsuntos!G9," - ")</f>
        <v>0.34743653558984572</v>
      </c>
      <c r="AO9" s="244">
        <f>IF(ISNUMBER((NºAsuntos!C9+NºAsuntos!E9)/NºAsuntos!G9),(NºAsuntos!C9+NºAsuntos!E9)/NºAsuntos!G9," - ")</f>
        <v>3.3210552513688403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121</v>
      </c>
      <c r="G10" s="332">
        <f>IF(ISNUMBER(Datos!I10),Datos!I10," - ")</f>
        <v>121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68</v>
      </c>
      <c r="X10" s="225">
        <f>IF(ISNUMBER(Datos!Q10),Datos!Q10," - ")</f>
        <v>4</v>
      </c>
      <c r="Y10" s="333">
        <f t="shared" ref="Y10:Y12" si="0">SUM(W10:X10)</f>
        <v>72</v>
      </c>
      <c r="Z10" s="334" t="str">
        <f>IF(ISNUMBER(Datos!CC10),Datos!CC10," - ")</f>
        <v xml:space="preserve"> - </v>
      </c>
      <c r="AA10" s="331">
        <f>IF(ISNUMBER(Datos!L10),Datos!L10,"-")</f>
        <v>103</v>
      </c>
      <c r="AB10" s="333">
        <f>IF(ISNUMBER(Datos!R10),Datos!R10," - ")</f>
        <v>60</v>
      </c>
      <c r="AC10" s="333">
        <f t="shared" ref="AC10:AC12" si="1">IF(ISNUMBER(AA10+AB10),AA10+AB10," - ")</f>
        <v>163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1.36</v>
      </c>
      <c r="AM10" s="259">
        <f>IF(ISNUMBER(((NºAsuntos!I10/NºAsuntos!G10)*11)/factor_trimestre),((NºAsuntos!I10/NºAsuntos!G10)*11)/factor_trimestre," - ")</f>
        <v>4.5441176470588234</v>
      </c>
      <c r="AN10" s="243">
        <f>IF(ISNUMBER('Resol  Asuntos'!D10/NºAsuntos!G10),'Resol  Asuntos'!D10/NºAsuntos!G10," - ")</f>
        <v>0.17647058823529413</v>
      </c>
      <c r="AO10" s="244">
        <f>IF(ISNUMBER((NºAsuntos!C10+NºAsuntos!E10)/NºAsuntos!G10),(NºAsuntos!C10+NºAsuntos!E10)/NºAsuntos!G10," - ")</f>
        <v>2.5147058823529411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57</v>
      </c>
      <c r="Y11" s="333">
        <f t="shared" si="0"/>
        <v>57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1425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149</v>
      </c>
      <c r="AJ11" s="230" t="str">
        <f>IF(ISNUMBER(Datos!BW11),Datos!BW11," - ")</f>
        <v xml:space="preserve"> - </v>
      </c>
      <c r="AK11" s="231" t="str">
        <f>IF(ISNUMBER(Datos!BX11),Datos!BX11," - ")</f>
        <v xml:space="preserve"> - </v>
      </c>
      <c r="AL11" s="242">
        <f>IF(ISNUMBER(NºAsuntos!G11/NºAsuntos!E11),NºAsuntos!G11/NºAsuntos!E11," - ")</f>
        <v>0.82315112540192925</v>
      </c>
      <c r="AM11" s="259">
        <f>IF(ISNUMBER(((NºAsuntos!I11/NºAsuntos!G11)*11)/factor_trimestre),((NºAsuntos!I11/NºAsuntos!G11)*11)/factor_trimestre," - ")</f>
        <v>6.345703125</v>
      </c>
      <c r="AN11" s="243">
        <f>IF(ISNUMBER('Resol  Asuntos'!D11/NºAsuntos!G11),'Resol  Asuntos'!D11/NºAsuntos!G11," - ")</f>
        <v>0.291015625</v>
      </c>
      <c r="AO11" s="244">
        <f>IF(ISNUMBER((NºAsuntos!C11+NºAsuntos!E11)/NºAsuntos!G11),(NºAsuntos!C11+NºAsuntos!E11)/NºAsuntos!G11," - ")</f>
        <v>3.107421875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121</v>
      </c>
      <c r="G13" s="863">
        <f t="shared" si="3"/>
        <v>121</v>
      </c>
      <c r="H13" s="862">
        <f t="shared" si="3"/>
        <v>0</v>
      </c>
      <c r="I13" s="864">
        <f t="shared" si="3"/>
        <v>0</v>
      </c>
      <c r="J13" s="864">
        <f t="shared" si="3"/>
        <v>0</v>
      </c>
      <c r="K13" s="864">
        <f t="shared" si="3"/>
        <v>0</v>
      </c>
      <c r="L13" s="864">
        <f t="shared" si="3"/>
        <v>624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68</v>
      </c>
      <c r="X13" s="864">
        <f t="shared" si="4"/>
        <v>545</v>
      </c>
      <c r="Y13" s="865">
        <f t="shared" si="4"/>
        <v>613</v>
      </c>
      <c r="Z13" s="865">
        <f t="shared" si="4"/>
        <v>0</v>
      </c>
      <c r="AA13" s="865">
        <f t="shared" si="4"/>
        <v>103</v>
      </c>
      <c r="AB13" s="865">
        <f t="shared" si="4"/>
        <v>10098</v>
      </c>
      <c r="AC13" s="865">
        <f t="shared" si="4"/>
        <v>163</v>
      </c>
      <c r="AD13" s="865">
        <f t="shared" si="4"/>
        <v>0</v>
      </c>
      <c r="AE13" s="869">
        <f t="shared" si="4"/>
        <v>0</v>
      </c>
      <c r="AF13" s="862">
        <f t="shared" si="4"/>
        <v>0</v>
      </c>
      <c r="AG13" s="870">
        <f t="shared" si="4"/>
        <v>0</v>
      </c>
      <c r="AH13" s="867">
        <f t="shared" si="4"/>
        <v>0</v>
      </c>
      <c r="AI13" s="862">
        <f t="shared" si="4"/>
        <v>859</v>
      </c>
      <c r="AJ13" s="864">
        <f t="shared" si="4"/>
        <v>0</v>
      </c>
      <c r="AK13" s="867">
        <f>SUBTOTAL(9,AK9:AK12)</f>
        <v>0</v>
      </c>
      <c r="AL13" s="871">
        <f>IF(ISNUMBER(NºAsuntos!G13/NºAsuntos!E13),NºAsuntos!G13/NºAsuntos!E13," - ")</f>
        <v>0.83651050080775446</v>
      </c>
      <c r="AM13" s="871">
        <f>IF(ISNUMBER(((NºAsuntos!I13/NºAsuntos!G13)*11)/factor_trimestre),((NºAsuntos!I13/NºAsuntos!G13)*11)/factor_trimestre," - ")</f>
        <v>7.2050984936268838</v>
      </c>
      <c r="AN13" s="872">
        <f>IF(ISNUMBER('Resol  Asuntos'!D13/NºAsuntos!G13),'Resol  Asuntos'!D13/NºAsuntos!G13," - ")</f>
        <v>0.3317883352645809</v>
      </c>
      <c r="AO13" s="873">
        <f>IF(ISNUMBER((NºAsuntos!C13+NºAsuntos!E13)/NºAsuntos!G13),(NºAsuntos!C13+NºAsuntos!E13)/NºAsuntos!G13," - ")</f>
        <v>3.2576284279644652</v>
      </c>
      <c r="AP13" s="874" t="str">
        <f t="shared" si="2"/>
        <v xml:space="preserve"> - </v>
      </c>
      <c r="AQ13" s="874">
        <f>IF(ISNUMBER((H13-W13+K13)/(F13)),(H13-W13+K13)/(F13)," - ")</f>
        <v>-0.56198347107438018</v>
      </c>
      <c r="AR13" s="875">
        <f>IF(ISNUMBER((Datos!P13-Datos!Q13)/(Datos!R13-Datos!P13+Datos!Q13)),(Datos!P13-Datos!Q13)/(Datos!R13-Datos!P13+Datos!Q13)," - ")</f>
        <v>7.8850184649166578E-3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1923</v>
      </c>
      <c r="G15" s="332">
        <f>IF(ISNUMBER(IF(D_I="SI",Datos!I15,Datos!I15+Datos!AC15)),IF(D_I="SI",Datos!I15,Datos!I15+Datos!AC15)," - ")</f>
        <v>1871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2382</v>
      </c>
      <c r="X15" s="225">
        <f>IF(ISNUMBER(Datos!Q15),Datos!Q15," - ")</f>
        <v>175</v>
      </c>
      <c r="Y15" s="333">
        <f>SUM(W15)</f>
        <v>2382</v>
      </c>
      <c r="Z15" s="334" t="str">
        <f>IF(ISNUMBER(Datos!CC15),Datos!CC15," - ")</f>
        <v xml:space="preserve"> - </v>
      </c>
      <c r="AA15" s="331">
        <f>IF(ISNUMBER(IF(D_I="SI",Datos!L15,Datos!L15+Datos!AF15)),IF(D_I="SI",Datos!L15,Datos!L15+Datos!AF15)," - ")</f>
        <v>2004</v>
      </c>
      <c r="AB15" s="333">
        <f>IF(ISNUMBER(Datos!R15),Datos!R15," - ")</f>
        <v>297</v>
      </c>
      <c r="AC15" s="333">
        <f t="shared" ref="AC15:AC18" si="6">IF(ISNUMBER(AA15+AB15),AA15+AB15," - ")</f>
        <v>2301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294</v>
      </c>
      <c r="AJ15" s="230" t="str">
        <f>IF(ISNUMBER(Datos!BW15),Datos!BW15," - ")</f>
        <v xml:space="preserve"> - </v>
      </c>
      <c r="AK15" s="231" t="str">
        <f>IF(ISNUMBER(Datos!BX15),Datos!BX15," - ")</f>
        <v xml:space="preserve"> - </v>
      </c>
      <c r="AL15" s="242">
        <f>IF(ISNUMBER(NºAsuntos!G15/NºAsuntos!E15),NºAsuntos!G15/NºAsuntos!E15," - ")</f>
        <v>0.96711327649208279</v>
      </c>
      <c r="AM15" s="259">
        <f>IF(ISNUMBER(((NºAsuntos!I15/NºAsuntos!G15)*11)/factor_trimestre),((NºAsuntos!I15/NºAsuntos!G15)*11)/factor_trimestre," - ")</f>
        <v>2.5239294710327456</v>
      </c>
      <c r="AN15" s="243">
        <f>IF(ISNUMBER('Resol  Asuntos'!D15/NºAsuntos!G15),'Resol  Asuntos'!D15/NºAsuntos!G15," - ")</f>
        <v>0.12342569269521411</v>
      </c>
      <c r="AO15" s="244">
        <f>IF(ISNUMBER((NºAsuntos!C15+NºAsuntos!E15)/NºAsuntos!G15),(NºAsuntos!C15+NºAsuntos!E15)/NºAsuntos!G15," - ")</f>
        <v>1.8194794290512175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275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278</v>
      </c>
      <c r="X18" s="225">
        <f>IF(ISNUMBER(Datos!Q18),Datos!Q18," - ")</f>
        <v>0</v>
      </c>
      <c r="Y18" s="333">
        <f t="shared" si="9"/>
        <v>278</v>
      </c>
      <c r="Z18" s="334" t="str">
        <f>IF(ISNUMBER(Datos!CC18),Datos!CC18," - ")</f>
        <v xml:space="preserve"> - </v>
      </c>
      <c r="AA18" s="331">
        <f>IF(ISNUMBER(Datos!L18),Datos!L18,"-")</f>
        <v>310</v>
      </c>
      <c r="AB18" s="333">
        <f>IF(ISNUMBER(Datos!R18),Datos!R18," - ")</f>
        <v>1</v>
      </c>
      <c r="AC18" s="333">
        <f t="shared" si="6"/>
        <v>311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0.96527777777777779</v>
      </c>
      <c r="AM18" s="259">
        <f>IF(ISNUMBER(((NºAsuntos!I18/NºAsuntos!G18)*11)/factor_trimestre),((NºAsuntos!I18/NºAsuntos!G18)*11)/factor_trimestre," - ")</f>
        <v>3.3453237410071943</v>
      </c>
      <c r="AN18" s="243">
        <f>IF(ISNUMBER('Resol  Asuntos'!D18/NºAsuntos!G18),'Resol  Asuntos'!D18/NºAsuntos!G18," - ")</f>
        <v>2.5179856115107913E-2</v>
      </c>
      <c r="AO18" s="244">
        <f>IF(ISNUMBER((NºAsuntos!C18+NºAsuntos!E18)/NºAsuntos!G18),(NºAsuntos!C18+NºAsuntos!E18)/NºAsuntos!G18," - ")</f>
        <v>2.0251798561151078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1923</v>
      </c>
      <c r="G19" s="863">
        <f>SUBTOTAL(9,G15:G18)</f>
        <v>2146</v>
      </c>
      <c r="H19" s="862">
        <f t="shared" ref="H19:O19" si="12">SUBTOTAL(9,H14:H18)</f>
        <v>0</v>
      </c>
      <c r="I19" s="864">
        <f t="shared" si="12"/>
        <v>0</v>
      </c>
      <c r="J19" s="864">
        <f t="shared" si="12"/>
        <v>0</v>
      </c>
      <c r="K19" s="864">
        <f t="shared" si="12"/>
        <v>0</v>
      </c>
      <c r="L19" s="864">
        <f t="shared" si="12"/>
        <v>140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2660</v>
      </c>
      <c r="X19" s="864">
        <f t="shared" si="13"/>
        <v>175</v>
      </c>
      <c r="Y19" s="865">
        <f t="shared" si="13"/>
        <v>2660</v>
      </c>
      <c r="Z19" s="865">
        <f t="shared" si="13"/>
        <v>0</v>
      </c>
      <c r="AA19" s="865">
        <f t="shared" si="13"/>
        <v>2314</v>
      </c>
      <c r="AB19" s="865">
        <f t="shared" si="13"/>
        <v>298</v>
      </c>
      <c r="AC19" s="865">
        <f t="shared" si="13"/>
        <v>2612</v>
      </c>
      <c r="AD19" s="865">
        <f t="shared" si="13"/>
        <v>0</v>
      </c>
      <c r="AE19" s="869">
        <f t="shared" si="13"/>
        <v>0</v>
      </c>
      <c r="AF19" s="862">
        <f t="shared" si="13"/>
        <v>0</v>
      </c>
      <c r="AG19" s="870">
        <f t="shared" si="13"/>
        <v>0</v>
      </c>
      <c r="AH19" s="867">
        <f t="shared" si="13"/>
        <v>0</v>
      </c>
      <c r="AI19" s="862">
        <f t="shared" si="13"/>
        <v>301</v>
      </c>
      <c r="AJ19" s="864">
        <f t="shared" si="13"/>
        <v>0</v>
      </c>
      <c r="AK19" s="867">
        <f t="shared" si="13"/>
        <v>0</v>
      </c>
      <c r="AL19" s="871">
        <f>IF(ISNUMBER(NºAsuntos!G19/NºAsuntos!E19),NºAsuntos!G19/NºAsuntos!E19," - ")</f>
        <v>0.9669211195928753</v>
      </c>
      <c r="AM19" s="871">
        <f>IF(ISNUMBER(((NºAsuntos!I19/NºAsuntos!G19)*11)/factor_trimestre),((NºAsuntos!I19/NºAsuntos!G19)*11)/factor_trimestre," - ")</f>
        <v>2.609774436090226</v>
      </c>
      <c r="AN19" s="872">
        <f>IF(ISNUMBER('Resol  Asuntos'!D19/NºAsuntos!G19),'Resol  Asuntos'!D19/NºAsuntos!G19," - ")</f>
        <v>0.11315789473684211</v>
      </c>
      <c r="AO19" s="873">
        <f>IF(ISNUMBER((NºAsuntos!C19+NºAsuntos!E19)/NºAsuntos!G19),(NºAsuntos!C19+NºAsuntos!E19)/NºAsuntos!G19," - ")</f>
        <v>1.8409774436090225</v>
      </c>
      <c r="AP19" s="874" t="str">
        <f t="shared" si="2"/>
        <v xml:space="preserve"> - </v>
      </c>
      <c r="AQ19" s="874">
        <f>IF(ISNUMBER((H19-W19+K19)/(F19)),(H19-W19+K19)/(F19)," - ")</f>
        <v>-1.3832553302132085</v>
      </c>
      <c r="AR19" s="875">
        <f>IF(ISNUMBER((Datos!P19-Datos!Q19)/(Datos!R19-Datos!P19+Datos!Q19)),(Datos!P19-Datos!Q19)/(Datos!R19-Datos!P19+Datos!Q19)," - ")</f>
        <v>-0.10510510510510511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13</v>
      </c>
      <c r="F20" s="817">
        <f t="shared" si="15"/>
        <v>2044</v>
      </c>
      <c r="G20" s="818">
        <f t="shared" si="15"/>
        <v>2267</v>
      </c>
      <c r="H20" s="817">
        <f t="shared" si="15"/>
        <v>0</v>
      </c>
      <c r="I20" s="819">
        <f t="shared" si="15"/>
        <v>0</v>
      </c>
      <c r="J20" s="819">
        <f t="shared" si="15"/>
        <v>0</v>
      </c>
      <c r="K20" s="878">
        <f t="shared" si="15"/>
        <v>0</v>
      </c>
      <c r="L20" s="819">
        <f t="shared" si="15"/>
        <v>764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2728</v>
      </c>
      <c r="X20" s="818">
        <f t="shared" si="16"/>
        <v>720</v>
      </c>
      <c r="Y20" s="825">
        <f t="shared" si="16"/>
        <v>3273</v>
      </c>
      <c r="Z20" s="825">
        <f t="shared" si="16"/>
        <v>0</v>
      </c>
      <c r="AA20" s="825">
        <f t="shared" si="16"/>
        <v>2417</v>
      </c>
      <c r="AB20" s="825">
        <f t="shared" si="16"/>
        <v>10396</v>
      </c>
      <c r="AC20" s="825">
        <f t="shared" si="16"/>
        <v>2775</v>
      </c>
      <c r="AD20" s="825">
        <f t="shared" si="16"/>
        <v>0</v>
      </c>
      <c r="AE20" s="827">
        <f t="shared" si="16"/>
        <v>0</v>
      </c>
      <c r="AF20" s="828">
        <f t="shared" si="16"/>
        <v>0</v>
      </c>
      <c r="AG20" s="829">
        <f t="shared" si="16"/>
        <v>0</v>
      </c>
      <c r="AH20" s="827">
        <f t="shared" si="16"/>
        <v>0</v>
      </c>
      <c r="AI20" s="817">
        <f t="shared" si="16"/>
        <v>1160</v>
      </c>
      <c r="AJ20" s="817">
        <f t="shared" si="16"/>
        <v>0</v>
      </c>
      <c r="AK20" s="827">
        <f t="shared" si="16"/>
        <v>0</v>
      </c>
      <c r="AL20" s="881">
        <f>IF(ISNUMBER(NºAsuntos!G20/NºAsuntos!E20),NºAsuntos!G20/NºAsuntos!E20," - ")</f>
        <v>0.89787889154977762</v>
      </c>
      <c r="AM20" s="882">
        <f>IF(ISNUMBER(((NºAsuntos!I20/NºAsuntos!G20)*11)/factor_trimestre),((NºAsuntos!I20/NºAsuntos!G20)*11)/factor_trimestre," - ")</f>
        <v>4.8763574014097921</v>
      </c>
      <c r="AN20" s="882">
        <f>IF(ISNUMBER('Resol  Asuntos'!D20/NºAsuntos!G20),'Resol  Asuntos'!D20/NºAsuntos!G20," - ")</f>
        <v>0.22099447513812154</v>
      </c>
      <c r="AO20" s="883">
        <f>IF(ISNUMBER((NºAsuntos!C20+NºAsuntos!E20)/NºAsuntos!G20),(NºAsuntos!C20+NºAsuntos!E20)/NºAsuntos!G20," - ")</f>
        <v>2.5397218517812918</v>
      </c>
      <c r="AP20" s="884" t="str">
        <f t="shared" si="2"/>
        <v xml:space="preserve"> - </v>
      </c>
      <c r="AQ20" s="885">
        <f>IF(OR(ISNUMBER(FIND("01",Criterios!A8,1)),ISNUMBER(FIND("02",Criterios!A8,1)),ISNUMBER(FIND("03",Criterios!A8,1)),ISNUMBER(FIND("04",Criterios!A8,1))),(I20-W20+K20)/(F20-K20),(H20-W20+K20)/(F20-K20))</f>
        <v>-1.3346379647749511</v>
      </c>
      <c r="AR20" s="886">
        <f>IF(ISNUMBER((Datos!P20-Datos!Q20)/(Datos!R20-Datos!P20+Datos!Q20)),(Datos!P20-Datos!Q20)/(Datos!R20-Datos!P20+Datos!Q20)," - ")</f>
        <v>4.250386398763524E-3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906.8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2.7568097504180447</v>
      </c>
      <c r="F22" s="251">
        <f>IF(ISNUMBER(STDEV(F8:F19)),STDEV(F8:F19),"-")</f>
        <v>1040.3851850797055</v>
      </c>
      <c r="G22" s="252">
        <f>IF(ISNUMBER(STDEV(G8:G19)),STDEV(G8:G19),"-")</f>
        <v>1012.3528041152451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1311.722989049136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330.55552087501485</v>
      </c>
      <c r="AJ22" s="251">
        <f t="shared" si="20"/>
        <v>0</v>
      </c>
      <c r="AK22" s="253">
        <f t="shared" si="20"/>
        <v>0</v>
      </c>
      <c r="AL22" s="248">
        <f t="shared" si="20"/>
        <v>0.18757920382870422</v>
      </c>
      <c r="AM22" s="249">
        <f t="shared" si="20"/>
        <v>2.1473087101544905</v>
      </c>
      <c r="AN22" s="249">
        <f t="shared" si="20"/>
        <v>0.12376063818553727</v>
      </c>
      <c r="AO22" s="250">
        <f t="shared" si="20"/>
        <v>0.67315782032912885</v>
      </c>
      <c r="AP22" s="290" t="str">
        <f t="shared" si="20"/>
        <v>-</v>
      </c>
      <c r="AQ22" s="291">
        <f t="shared" si="20"/>
        <v>0.58072690079474865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25YQdvfWtxQjZF/SOCkHRRHfYERqHrnZxQqO71vlBEFGzs+lgxVq6SowOsknk5Nyx48IH24EMX30/6z/2gTtw==" saltValue="I3to7dKRRLZjQ/gLKfdW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JAEN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-0.24622030237580994</v>
      </c>
      <c r="I9" s="349">
        <f>IF(ISNUMBER((Tasas!C9-Datos!BE9)/Datos!BE9),(Tasas!C9-Datos!BE9)/Datos!BE9," - ")</f>
        <v>8.4051154769369363E-2</v>
      </c>
      <c r="J9" s="348">
        <f>IF(ISNUMBER((Tasas!D9-Datos!BF9)/Datos!BF9),(Tasas!D9-Datos!BF9)/Datos!BF9," - ")</f>
        <v>-6.6954886755184628E-2</v>
      </c>
      <c r="K9" s="350">
        <f>IF(ISNUMBER((Tasas!E9-Datos!BG9)/Datos!BG9),(Tasas!E9-Datos!BG9)/Datos!BG9," - ")</f>
        <v>-7.5795682519107038E-2</v>
      </c>
      <c r="M9" t="e">
        <f>IF(Monitorios="SI",Datos!CE9,0)</f>
        <v>#REF!</v>
      </c>
      <c r="N9" t="e">
        <f>IF(Monitorios="SI",Datos!CF9,0)</f>
        <v>#REF!</v>
      </c>
      <c r="O9" t="e">
        <f>IF(Monitorios="SI",Datos!CG9,0)</f>
        <v>#REF!</v>
      </c>
      <c r="P9" t="e">
        <f>IF(Monitorios="SI",Datos!CH9,0)</f>
        <v>#REF!</v>
      </c>
      <c r="Q9">
        <f>IF(J_V="SI",0,Datos!AG9)</f>
        <v>92</v>
      </c>
      <c r="R9">
        <f>IF(J_V="SI",0,Datos!AH9)</f>
        <v>56</v>
      </c>
      <c r="S9">
        <f>IF(J_V="SI",0,Datos!AI9)</f>
        <v>63</v>
      </c>
      <c r="T9">
        <f>IF(J_V="SI",0,Datos!AJ9)</f>
        <v>85</v>
      </c>
    </row>
    <row r="10" spans="2:20" ht="14.25">
      <c r="B10" s="274" t="s">
        <v>247</v>
      </c>
      <c r="C10" s="7" t="str">
        <f>Datos!A10</f>
        <v>Sección De Violencia sobre la Mujer del TI</v>
      </c>
      <c r="D10" s="351">
        <f>IF(ISNUMBER((Datos!I10-Datos!S10)/Datos!S10),(Datos!I10-Datos!S10)/Datos!S10," - ")</f>
        <v>0.53164556962025311</v>
      </c>
      <c r="E10" s="347">
        <f>IF(ISNUMBER((Datos!J10-Datos!T10)/Datos!T10),(Datos!J10-Datos!T10)/Datos!T10," - ")</f>
        <v>-0.40476190476190477</v>
      </c>
      <c r="F10" s="347">
        <f>IF(ISNUMBER((Datos!K10-Datos!U10)/Datos!U10),(Datos!K10-Datos!U10)/Datos!U10," - ")</f>
        <v>-9.3333333333333338E-2</v>
      </c>
      <c r="G10" s="348">
        <f>IF(ISNUMBER((Datos!L10-Datos!V10)/Datos!V10),(Datos!L10-Datos!V10)/Datos!V10," - ")</f>
        <v>0.17045454545454544</v>
      </c>
      <c r="H10" s="229">
        <f>IF(ISNUMBER((Datos!M10-Datos!W10)/Datos!W10),(Datos!M10-Datos!W10)/Datos!W10," - ")</f>
        <v>-0.58620689655172409</v>
      </c>
      <c r="I10" s="349">
        <f>IF(ISNUMBER((Tasas!C10-Datos!BE10)/Datos!BE10),(Tasas!C10-Datos!BE10)/Datos!BE10," - ")</f>
        <v>0.29094251336898391</v>
      </c>
      <c r="J10" s="348">
        <f>IF(ISNUMBER((Tasas!D10-Datos!BF10)/Datos!BF10),(Tasas!D10-Datos!BF10)/Datos!BF10," - ")</f>
        <v>-0.54361054766734274</v>
      </c>
      <c r="K10" s="350">
        <f>IF(ISNUMBER((Tasas!E10-Datos!BG10)/Datos!BG10),(Tasas!E10-Datos!BG10)/Datos!BG10," - ")</f>
        <v>0.15707325875135328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-0.3165137614678899</v>
      </c>
      <c r="I11" s="349">
        <f>IF(ISNUMBER((Tasas!C11-Datos!BE11)/Datos!BE11),(Tasas!C11-Datos!BE11)/Datos!BE11," - ")</f>
        <v>4.4139839034205298E-2</v>
      </c>
      <c r="J11" s="348">
        <f>IF(ISNUMBER((Tasas!D11-Datos!BF11)/Datos!BF11),(Tasas!D11-Datos!BF11)/Datos!BF11," - ")</f>
        <v>-0.39665492957746479</v>
      </c>
      <c r="K11" s="350">
        <f>IF(ISNUMBER((Tasas!E11-Datos!BG11)/Datos!BG11),(Tasas!E11-Datos!BG11)/Datos!BG11," - ")</f>
        <v>2.1922475424486179E-2</v>
      </c>
      <c r="M11" t="e">
        <f>IF(Monitorios="SI",Datos!CE11,0)</f>
        <v>#REF!</v>
      </c>
      <c r="N11" t="e">
        <f>IF(Monitorios="SI",Datos!CF11,0)</f>
        <v>#REF!</v>
      </c>
      <c r="O11" t="e">
        <f>IF(Monitorios="SI",Datos!CG11,0)</f>
        <v>#REF!</v>
      </c>
      <c r="P11" t="e">
        <f>IF(Monitorios="SI",Datos!CH11,0)</f>
        <v>#REF!</v>
      </c>
      <c r="Q11">
        <f>IF(J_V="SI",0,Datos!AG11)</f>
        <v>464</v>
      </c>
      <c r="R11">
        <f>IF(J_V="SI",0,Datos!AH11)</f>
        <v>183</v>
      </c>
      <c r="S11">
        <f>IF(J_V="SI",0,Datos!AI11)</f>
        <v>168</v>
      </c>
      <c r="T11">
        <f>IF(J_V="SI",0,Datos!AJ11)</f>
        <v>479</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-0.26768968456947995</v>
      </c>
      <c r="I13" s="356">
        <f>IF(ISNUMBER((Tasas!C13-Datos!BE13)/Datos!BE13),(Tasas!C13-Datos!BE13)/Datos!BE13," - ")</f>
        <v>7.5083664572712164E-2</v>
      </c>
      <c r="J13" s="354">
        <f>IF(ISNUMBER((Tasas!D13-Datos!BF13)/Datos!BF13),(Tasas!D13-Datos!BF13)/Datos!BF13," - ")</f>
        <v>-0.15717883964122617</v>
      </c>
      <c r="K13" s="357">
        <f>IF(ISNUMBER((Tasas!E13-Datos!BG13)/Datos!BG13),(Tasas!E13-Datos!BG13)/Datos!BG13," - ")</f>
        <v>-5.8527048698600016E-2</v>
      </c>
      <c r="M13" t="e">
        <f>IF(Monitorios="SI",Datos!CE13,0)</f>
        <v>#REF!</v>
      </c>
      <c r="N13" t="e">
        <f>IF(Monitorios="SI",Datos!CF13,0)</f>
        <v>#REF!</v>
      </c>
      <c r="O13" t="e">
        <f>IF(Monitorios="SI",Datos!CG13,0)</f>
        <v>#REF!</v>
      </c>
      <c r="P13" t="e">
        <f>IF(Monitorios="SI",Datos!CH13,0)</f>
        <v>#REF!</v>
      </c>
      <c r="Q13">
        <f>IF(J_V="SI",0,Datos!AG13)</f>
        <v>556</v>
      </c>
      <c r="R13">
        <f>IF(J_V="SI",0,Datos!AH13)</f>
        <v>239</v>
      </c>
      <c r="S13">
        <f>IF(J_V="SI",0,Datos!AI13)</f>
        <v>231</v>
      </c>
      <c r="T13">
        <f>IF(J_V="SI",0,Datos!AJ13)</f>
        <v>564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0.10906935388263189</v>
      </c>
      <c r="E15" s="347">
        <f>IF(ISNUMBER(
   IF(D_I="SI",(Datos!J15-Datos!T15)/Datos!T15,(Datos!J15+Datos!AD15-(Datos!T15+Datos!AL15))/(Datos!T15+Datos!AL15))
     ),IF(D_I="SI",(Datos!J15-Datos!T15)/Datos!T15,(Datos!J15+Datos!AD15-(Datos!T15+Datos!AL15))/(Datos!T15+Datos!AL15))," - ")</f>
        <v>-3.0696576151121605E-2</v>
      </c>
      <c r="F15" s="347">
        <f>IF(ISNUMBER(
   IF(D_I="SI",(Datos!K15-Datos!U15)/Datos!U15,(Datos!K15+Datos!AE15-(Datos!U15+Datos!AM15))/(Datos!U15+Datos!AM15))
     ),IF(D_I="SI",(Datos!K15-Datos!U15)/Datos!U15,(Datos!K15+Datos!AE15-(Datos!U15+Datos!AM15))/(Datos!U15+Datos!AM15))," - ")</f>
        <v>-1.4480761274306992E-2</v>
      </c>
      <c r="G15" s="348">
        <f>IF(ISNUMBER(
   IF(D_I="SI",(Datos!L15-Datos!V15)/Datos!V15,(Datos!L15+Datos!AF15-(Datos!V15+Datos!AN15))/(Datos!V15+Datos!AN15))
     ),IF(D_I="SI",(Datos!L15-Datos!V15)/Datos!V15,(Datos!L15+Datos!AF15-(Datos!V15+Datos!AN15))/(Datos!V15+Datos!AN15))," - ")</f>
        <v>9.3289689034369891E-2</v>
      </c>
      <c r="H15" s="229">
        <f>IF(ISNUMBER((Datos!M15-Datos!W15)/Datos!W15),(Datos!M15-Datos!W15)/Datos!W15," - ")</f>
        <v>6.9090909090909092E-2</v>
      </c>
      <c r="I15" s="349">
        <f>IF(ISNUMBER((Tasas!C15-Datos!BE15)/Datos!BE15),(Tasas!C15-Datos!BE15)/Datos!BE15," - ")</f>
        <v>0.109353979175513</v>
      </c>
      <c r="J15" s="348">
        <f>IF(ISNUMBER((Tasas!D15-Datos!BF15)/Datos!BF15),(Tasas!D15-Datos!BF15)/Datos!BF15," - ")</f>
        <v>8.4799633615754585E-2</v>
      </c>
      <c r="K15" s="350">
        <f>IF(ISNUMBER((Tasas!E15-Datos!BG15)/Datos!BG15),(Tasas!E15-Datos!BG15)/Datos!BG15," - ")</f>
        <v>4.0132871337935902E-2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-0.15123456790123457</v>
      </c>
      <c r="E18" s="347">
        <f>IF(ISNUMBER(
   IF(D_I="SI",(Datos!J18-Datos!T18)/Datos!T18,(Datos!J18+Datos!AD18-(Datos!T18+Datos!AL18))/(Datos!T18+Datos!AL18))
     ),IF(D_I="SI",(Datos!J18-Datos!T18)/Datos!T18,(Datos!J18+Datos!AD18-(Datos!T18+Datos!AL18))/(Datos!T18+Datos!AL18))," - ")</f>
        <v>-9.1482649842271294E-2</v>
      </c>
      <c r="F18" s="347">
        <f>IF(ISNUMBER(
   IF(D_I="SI",(Datos!K18-Datos!U18)/Datos!U18,(Datos!K18+Datos!AE18-(Datos!U18+Datos!AM18))/(Datos!U18+Datos!AM18))
     ),IF(D_I="SI",(Datos!K18-Datos!U18)/Datos!U18,(Datos!K18+Datos!AE18-(Datos!U18+Datos!AM18))/(Datos!U18+Datos!AM18))," - ")</f>
        <v>-7.6411960132890366E-2</v>
      </c>
      <c r="G18" s="348">
        <f>IF(ISNUMBER(
   IF(D_I="SI",(Datos!L18-Datos!V18)/Datos!V18,(Datos!L18+Datos!AF18-(Datos!V18+Datos!AN18))/(Datos!V18+Datos!AN18))
     ),IF(D_I="SI",(Datos!L18-Datos!V18)/Datos!V18,(Datos!L18+Datos!AF18-(Datos!V18+Datos!AN18))/(Datos!V18+Datos!AN18))," - ")</f>
        <v>-8.8235294117647065E-2</v>
      </c>
      <c r="H18" s="229">
        <f>IF(ISNUMBER((Datos!M18-Datos!W18)/Datos!W18),(Datos!M18-Datos!W18)/Datos!W18," - ")</f>
        <v>0</v>
      </c>
      <c r="I18" s="349">
        <f>IF(ISNUMBER((Tasas!C18-Datos!BE18)/Datos!BE18),(Tasas!C18-Datos!BE18)/Datos!BE18," - ")</f>
        <v>-1.2801523487092785E-2</v>
      </c>
      <c r="J18" s="348">
        <f>IF(ISNUMBER((Tasas!D18-Datos!BF18)/Datos!BF18),(Tasas!D18-Datos!BF18)/Datos!BF18," - ")</f>
        <v>8.2733812949640287E-2</v>
      </c>
      <c r="K18" s="350">
        <f>IF(ISNUMBER((Tasas!E18-Datos!BG18)/Datos!BG18),(Tasas!E18-Datos!BG18)/Datos!BG18," - ")</f>
        <v>-4.9018507502890052E-2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6.7130780706116361E-2</v>
      </c>
      <c r="E19" s="353">
        <f>IF(ISNUMBER(
   IF(D_I="SI",(Datos!J19-Datos!T19)/Datos!T19,(Datos!J19+Datos!AD19-(Datos!T19+Datos!AL19))/(Datos!T19+Datos!AL19))
     ),IF(D_I="SI",(Datos!J19-Datos!T19)/Datos!T19,(Datos!J19+Datos!AD19-(Datos!T19+Datos!AL19))/(Datos!T19+Datos!AL19))," - ")</f>
        <v>-3.7438768369489152E-2</v>
      </c>
      <c r="F19" s="353">
        <f>IF(ISNUMBER(
   IF(D_I="SI",(Datos!K19-Datos!U19)/Datos!U19,(Datos!K19+Datos!AE19-(Datos!U19+Datos!AM19))/(Datos!U19+Datos!AM19))
     ),IF(D_I="SI",(Datos!K19-Datos!U19)/Datos!U19,(Datos!K19+Datos!AE19-(Datos!U19+Datos!AM19))/(Datos!U19+Datos!AM19))," - ")</f>
        <v>-2.1339220014716703E-2</v>
      </c>
      <c r="G19" s="354">
        <f>IF(ISNUMBER(
   IF(D_I="SI",(Datos!L19-Datos!V19)/Datos!V19,(Datos!L19+Datos!AF19-(Datos!V19+Datos!AN19))/(Datos!V19+Datos!AN19))
     ),IF(D_I="SI",(Datos!L19-Datos!V19)/Datos!V19,(Datos!L19+Datos!AF19-(Datos!V19+Datos!AN19))/(Datos!V19+Datos!AN19))," - ")</f>
        <v>6.4887252646111365E-2</v>
      </c>
      <c r="H19" s="355">
        <f>IF(ISNUMBER((Datos!M19-Datos!W19)/Datos!W19),(Datos!M19-Datos!W19)/Datos!W19," - ")</f>
        <v>6.7375886524822695E-2</v>
      </c>
      <c r="I19" s="356">
        <f>IF(ISNUMBER((Tasas!C19-Datos!BE19)/Datos!BE19),(Tasas!C19-Datos!BE19)/Datos!BE19," - ")</f>
        <v>8.8106598756440072E-2</v>
      </c>
      <c r="J19" s="354">
        <f>IF(ISNUMBER((Tasas!D19-Datos!BF19)/Datos!BF19),(Tasas!D19-Datos!BF19)/Datos!BF19," - ")</f>
        <v>9.0649496080627126E-2</v>
      </c>
      <c r="K19" s="357">
        <f>IF(ISNUMBER((Tasas!E19-Datos!BG19)/Datos!BG19),(Tasas!E19-Datos!BG19)/Datos!BG19," - ")</f>
        <v>2.7680569260489486E-2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-0.17900625205659756</v>
      </c>
      <c r="E20" s="362">
        <f>IF(ISNUMBER(
   IF(J_V="SI",(Datos!J20-Datos!T20)/Datos!T20,(Datos!J20+Datos!Z20-(Datos!T20+Datos!AH20))/(Datos!T20+Datos!AH20))
     ),IF(J_V="SI",(Datos!J20-Datos!T20)/Datos!T20,(Datos!J20+Datos!Z20-(Datos!T20+Datos!AH20))/(Datos!T20+Datos!AH20))," - ")</f>
        <v>-0.35595461055414784</v>
      </c>
      <c r="F20" s="362">
        <f>IF(ISNUMBER(
   IF(J_V="SI",(Datos!K20-Datos!U20)/Datos!U20,(Datos!K20+Datos!AA20-(Datos!U20+Datos!AI20))/(Datos!U20+Datos!AI20))
     ),IF(J_V="SI",(Datos!K20-Datos!U20)/Datos!U20,(Datos!K20+Datos!AA20-(Datos!U20+Datos!AI20))/(Datos!U20+Datos!AI20))," - ")</f>
        <v>-0.20094382706652458</v>
      </c>
      <c r="G20" s="363">
        <f>IF(ISNUMBER(
   IF(J_V="SI",(Datos!L20-Datos!V20)/Datos!V20,(Datos!L20+Datos!AB20-(Datos!V20+Datos!AJ20))/(Datos!V20+Datos!AJ20))
     ),IF(J_V="SI",(Datos!L20-Datos!V20)/Datos!V20,(Datos!L20+Datos!AB20-(Datos!V20+Datos!AJ20))/(Datos!V20+Datos!AJ20))," - ")</f>
        <v>-0.20824053452115812</v>
      </c>
      <c r="H20" s="364">
        <f>IF(ISNUMBER((Datos!M20-Datos!W20)/Datos!W20),(Datos!M20-Datos!W20)/Datos!W20," - ")</f>
        <v>-0.20274914089347079</v>
      </c>
      <c r="I20" s="361">
        <f>IF(ISNUMBER((Tasas!C20-Datos!BE20)/Datos!BE20),(Tasas!C20-Datos!BE20)/Datos!BE20," - ")</f>
        <v>-9.1316577004167884E-3</v>
      </c>
      <c r="J20" s="362">
        <f>IF(ISNUMBER((Tasas!D20-Datos!BF20)/Datos!BF20),(Tasas!D20-Datos!BF20)/Datos!BF20," - ")</f>
        <v>-0.19259582470393755</v>
      </c>
      <c r="K20" s="363">
        <f>IF(ISNUMBER((Tasas!E20-Datos!BG20)/Datos!BG20),(Tasas!E20-Datos!BG20)/Datos!BG20," - ")</f>
        <v>-8.3025566431169318E-2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0.28546312233179277</v>
      </c>
      <c r="E22" s="277">
        <f t="shared" si="1"/>
        <v>0.17787078484023977</v>
      </c>
      <c r="F22" s="277">
        <f t="shared" si="1"/>
        <v>3.9372930523738449E-2</v>
      </c>
      <c r="G22" s="278">
        <f t="shared" si="1"/>
        <v>0.10848342181476515</v>
      </c>
      <c r="H22" s="284">
        <f t="shared" si="1"/>
        <v>0.24197027584472813</v>
      </c>
      <c r="I22" s="276">
        <f t="shared" si="1"/>
        <v>9.4290313411334231E-2</v>
      </c>
      <c r="J22" s="277">
        <f t="shared" si="1"/>
        <v>0.25395886310319504</v>
      </c>
      <c r="K22" s="278">
        <f t="shared" si="1"/>
        <v>8.0132417166916478E-2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qrWBgGge0Jenwbxoj4gqrKRngI/Dzwy59VhUUHXo975jO7D5sRpfAn3JnAnePl8DoC3dTtZk7UsOe2mNrvOww==" saltValue="dVoOO/do9K5UYCNXP8X7h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